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66925"/>
  <mc:AlternateContent xmlns:mc="http://schemas.openxmlformats.org/markup-compatibility/2006">
    <mc:Choice Requires="x15">
      <x15ac:absPath xmlns:x15ac="http://schemas.microsoft.com/office/spreadsheetml/2010/11/ac" url="https://people.ey.com/personal/maria_dolores_santisteban_vera_es_ey_com/Documents/4. MATRICES/VFINAL Aprobaciones UAFSE/MATRIZ EX ANTE 17032025/"/>
    </mc:Choice>
  </mc:AlternateContent>
  <xr:revisionPtr revIDLastSave="1677" documentId="8_{45567418-6B98-4CCF-BB41-4474CC8CEAFC}" xr6:coauthVersionLast="47" xr6:coauthVersionMax="47" xr10:uidLastSave="{A85B1ECA-ED55-46DD-A5C2-6A398BEA0122}"/>
  <bookViews>
    <workbookView xWindow="-110" yWindow="-110" windowWidth="19420" windowHeight="11500" tabRatio="862" activeTab="2" xr2:uid="{FF3957C6-9199-4AF6-9A0C-A6DBCC5AE9FF}"/>
  </bookViews>
  <sheets>
    <sheet name="INSTRUCCIONES" sheetId="14" r:id="rId1"/>
    <sheet name="SUBVENCIONES" sheetId="11" r:id="rId2"/>
    <sheet name="CONTRATACIÓN" sheetId="12" r:id="rId3"/>
    <sheet name="MEDIOS PROPIOS" sheetId="6" r:id="rId4"/>
    <sheet name="ENCARGO A MEDIO PROPIO" sheetId="9" r:id="rId5"/>
    <sheet name="ENCOMIENDA DE GESTIÓN" sheetId="13" r:id="rId6"/>
    <sheet name="CONVENIOS" sheetId="10" r:id="rId7"/>
    <sheet name="CONCIERTOS" sheetId="3" r:id="rId8"/>
    <sheet name="INFORMES" sheetId="5" r:id="rId9"/>
    <sheet name="Sheet2" sheetId="2"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30" i="3" l="1"/>
  <c r="AF28" i="3"/>
  <c r="AF27" i="3"/>
  <c r="AF26" i="3"/>
  <c r="AF23" i="3"/>
  <c r="AF20" i="3"/>
  <c r="AF19" i="3"/>
  <c r="AF19" i="10"/>
  <c r="AC32" i="3"/>
  <c r="AC31" i="3"/>
  <c r="AC30" i="3"/>
  <c r="AC29" i="3"/>
  <c r="AC28" i="3"/>
  <c r="AC27" i="3"/>
  <c r="AC26" i="3"/>
  <c r="AC25" i="3"/>
  <c r="AC24" i="3"/>
  <c r="AC23" i="3"/>
  <c r="AC22" i="3"/>
  <c r="AC21" i="3"/>
  <c r="AC20" i="3"/>
  <c r="AC19" i="3"/>
  <c r="AC29" i="10"/>
  <c r="AC28" i="10"/>
  <c r="AC27" i="10"/>
  <c r="AC26" i="10"/>
  <c r="AC25" i="10"/>
  <c r="AC24" i="10"/>
  <c r="AC23" i="10"/>
  <c r="AC22" i="10"/>
  <c r="AC21" i="10"/>
  <c r="AC20" i="10"/>
  <c r="AC19" i="10"/>
  <c r="AC30" i="13"/>
  <c r="AF27" i="10"/>
  <c r="AF26" i="10"/>
  <c r="AF25" i="10"/>
  <c r="AF23" i="10"/>
  <c r="AF21" i="10"/>
  <c r="AF30" i="13"/>
  <c r="AF27" i="13"/>
  <c r="AF25" i="13"/>
  <c r="AF23" i="13"/>
  <c r="AF22" i="13"/>
  <c r="AF21" i="13"/>
  <c r="AF19" i="13"/>
  <c r="AF19" i="9"/>
  <c r="AC32" i="13"/>
  <c r="AC31" i="13"/>
  <c r="AC29" i="13"/>
  <c r="AC28" i="13"/>
  <c r="AC27" i="13"/>
  <c r="AC26" i="13"/>
  <c r="AC25" i="13"/>
  <c r="AC24" i="13"/>
  <c r="AC23" i="13"/>
  <c r="AC22" i="13"/>
  <c r="AC21" i="13"/>
  <c r="AC20" i="13"/>
  <c r="AC19" i="13"/>
  <c r="AC19" i="9"/>
  <c r="AF41" i="9"/>
  <c r="AF36" i="9"/>
  <c r="AF32" i="9"/>
  <c r="AF29" i="9"/>
  <c r="AF27" i="9"/>
  <c r="AF25" i="9"/>
  <c r="AF23" i="9"/>
  <c r="AF22" i="9"/>
  <c r="AF21" i="9"/>
  <c r="AC38" i="9"/>
  <c r="AC37" i="9"/>
  <c r="AC36" i="9"/>
  <c r="AC35" i="9"/>
  <c r="AC34" i="9"/>
  <c r="AC33" i="9"/>
  <c r="AC32" i="9"/>
  <c r="AC31" i="9"/>
  <c r="AC30" i="9"/>
  <c r="AC29" i="9"/>
  <c r="AC28" i="9"/>
  <c r="AC27" i="9"/>
  <c r="AC26" i="9"/>
  <c r="AC25" i="9"/>
  <c r="AC24" i="9"/>
  <c r="AC23" i="9"/>
  <c r="AC22" i="9"/>
  <c r="AC21" i="9"/>
  <c r="AC20" i="9"/>
  <c r="AC19" i="6"/>
  <c r="AC31" i="6"/>
  <c r="AC30" i="6"/>
  <c r="AC29" i="6"/>
  <c r="AC28" i="6"/>
  <c r="AC27" i="6"/>
  <c r="AC26" i="6"/>
  <c r="AC25" i="6"/>
  <c r="AC24" i="6"/>
  <c r="AC23" i="6"/>
  <c r="AC22" i="6"/>
  <c r="AC21" i="6"/>
  <c r="AC20" i="6"/>
  <c r="AF52" i="12"/>
  <c r="AF62" i="12"/>
  <c r="AF57" i="12"/>
  <c r="AF56" i="12"/>
  <c r="AF48" i="12"/>
  <c r="AF42" i="12"/>
  <c r="AF32" i="12"/>
  <c r="AF27" i="12"/>
  <c r="AF19" i="12"/>
  <c r="AC59" i="12"/>
  <c r="AC58" i="12"/>
  <c r="AC57" i="12"/>
  <c r="AC56" i="12"/>
  <c r="AC55" i="12"/>
  <c r="AC54" i="12"/>
  <c r="AC53" i="12"/>
  <c r="AC52" i="12"/>
  <c r="AC51" i="12"/>
  <c r="AC50" i="12"/>
  <c r="AC49" i="12"/>
  <c r="AC48" i="12"/>
  <c r="AC47" i="12"/>
  <c r="AC46" i="12"/>
  <c r="AC45" i="12"/>
  <c r="AC44" i="12"/>
  <c r="AC43" i="12"/>
  <c r="AC42" i="12"/>
  <c r="AC41" i="12"/>
  <c r="AC40" i="12"/>
  <c r="AC39" i="12"/>
  <c r="AC38" i="12"/>
  <c r="AC37" i="12"/>
  <c r="AC36" i="12"/>
  <c r="AC35" i="12"/>
  <c r="AC34" i="12"/>
  <c r="AC33" i="12"/>
  <c r="AC32" i="12"/>
  <c r="AC31" i="12"/>
  <c r="AC30" i="12"/>
  <c r="AC29" i="12"/>
  <c r="AC28" i="12"/>
  <c r="AC27" i="12"/>
  <c r="AC26" i="12"/>
  <c r="AC25" i="12"/>
  <c r="AC24" i="12"/>
  <c r="AC23" i="12"/>
  <c r="AC22" i="12"/>
  <c r="AC21" i="12"/>
  <c r="AC20" i="12"/>
  <c r="AC19" i="12"/>
  <c r="AC37" i="11"/>
  <c r="AC36" i="11"/>
  <c r="AC35" i="11"/>
  <c r="AC34" i="11"/>
  <c r="AC33" i="11"/>
  <c r="AC32" i="11"/>
  <c r="AC31" i="11"/>
  <c r="AC30" i="11"/>
  <c r="AC29" i="11"/>
  <c r="AC28" i="11"/>
  <c r="AC27" i="11"/>
  <c r="AC26" i="11"/>
  <c r="AC25" i="11"/>
  <c r="AC24" i="11"/>
  <c r="AC23" i="11"/>
  <c r="AC22" i="11"/>
  <c r="AC21" i="11"/>
  <c r="AC20" i="11"/>
  <c r="AC19" i="11"/>
  <c r="Q37" i="9"/>
  <c r="Q20" i="11"/>
  <c r="Q21" i="11"/>
  <c r="Q22" i="11"/>
  <c r="Q23" i="11"/>
  <c r="Q24" i="11"/>
  <c r="Q25" i="11"/>
  <c r="Q26" i="11"/>
  <c r="Q27" i="11"/>
  <c r="Q28" i="11"/>
  <c r="Q29" i="11"/>
  <c r="Q30" i="11"/>
  <c r="Q31" i="11"/>
  <c r="Q32" i="11"/>
  <c r="Q33" i="11"/>
  <c r="Q34" i="11"/>
  <c r="Q35" i="11"/>
  <c r="Q36" i="11"/>
  <c r="Q37" i="11"/>
  <c r="N20" i="11"/>
  <c r="N21" i="11"/>
  <c r="N22" i="11"/>
  <c r="N23" i="11"/>
  <c r="N24" i="11"/>
  <c r="N25" i="11"/>
  <c r="N26" i="11"/>
  <c r="N27" i="11"/>
  <c r="N28" i="11"/>
  <c r="N29" i="11"/>
  <c r="N30" i="11"/>
  <c r="N31" i="11"/>
  <c r="N32" i="11"/>
  <c r="N33" i="11"/>
  <c r="N34" i="11"/>
  <c r="N35" i="11"/>
  <c r="N36" i="11"/>
  <c r="N37" i="11"/>
  <c r="K20" i="11"/>
  <c r="K21" i="11"/>
  <c r="K22" i="11"/>
  <c r="K23" i="11"/>
  <c r="K24" i="11"/>
  <c r="K25" i="11"/>
  <c r="K26" i="11"/>
  <c r="K27" i="11"/>
  <c r="K28" i="11"/>
  <c r="K29" i="11"/>
  <c r="K30" i="11"/>
  <c r="K31" i="11"/>
  <c r="K32" i="11"/>
  <c r="K33" i="11"/>
  <c r="K34" i="11"/>
  <c r="K35" i="11"/>
  <c r="K36" i="11"/>
  <c r="K37" i="11"/>
  <c r="H20" i="11"/>
  <c r="H21" i="11"/>
  <c r="H22" i="11"/>
  <c r="H23" i="11"/>
  <c r="H24" i="11"/>
  <c r="H25" i="11"/>
  <c r="H26" i="11"/>
  <c r="H27" i="11"/>
  <c r="H28" i="11"/>
  <c r="H29" i="11"/>
  <c r="H30" i="11"/>
  <c r="H31" i="11"/>
  <c r="H32" i="11"/>
  <c r="H33" i="11"/>
  <c r="H34" i="11"/>
  <c r="H35" i="11"/>
  <c r="H36" i="11"/>
  <c r="H37" i="11"/>
  <c r="H20" i="9"/>
  <c r="K20" i="9"/>
  <c r="N20" i="9"/>
  <c r="Q20" i="9"/>
  <c r="H21" i="9"/>
  <c r="K21" i="9"/>
  <c r="N21" i="9"/>
  <c r="Q21" i="9"/>
  <c r="H22" i="9"/>
  <c r="K22" i="9"/>
  <c r="N22" i="9"/>
  <c r="Q22" i="9"/>
  <c r="H23" i="9"/>
  <c r="K23" i="9"/>
  <c r="N23" i="9"/>
  <c r="Q23" i="9"/>
  <c r="H24" i="9"/>
  <c r="K24" i="9"/>
  <c r="N24" i="9"/>
  <c r="Q24" i="9"/>
  <c r="H25" i="9"/>
  <c r="K25" i="9"/>
  <c r="N25" i="9"/>
  <c r="Q25" i="9"/>
  <c r="H26" i="9"/>
  <c r="K26" i="9"/>
  <c r="N26" i="9"/>
  <c r="S26" i="9" s="1"/>
  <c r="Q26" i="9"/>
  <c r="H27" i="9"/>
  <c r="K27" i="9"/>
  <c r="N27" i="9"/>
  <c r="S27" i="9" s="1"/>
  <c r="Q27" i="9"/>
  <c r="H28" i="9"/>
  <c r="K28" i="9"/>
  <c r="N28" i="9"/>
  <c r="Q28" i="9"/>
  <c r="H29" i="9"/>
  <c r="K29" i="9"/>
  <c r="N29" i="9"/>
  <c r="Q29" i="9"/>
  <c r="H30" i="9"/>
  <c r="K30" i="9"/>
  <c r="N30" i="9"/>
  <c r="S30" i="9" s="1"/>
  <c r="Q30" i="9"/>
  <c r="H31" i="9"/>
  <c r="K31" i="9"/>
  <c r="N31" i="9"/>
  <c r="Q31" i="9"/>
  <c r="H32" i="9"/>
  <c r="K32" i="9"/>
  <c r="N32" i="9"/>
  <c r="Q32" i="9"/>
  <c r="H33" i="9"/>
  <c r="K33" i="9"/>
  <c r="N33" i="9"/>
  <c r="Q33" i="9"/>
  <c r="H34" i="9"/>
  <c r="K34" i="9"/>
  <c r="N34" i="9"/>
  <c r="Q34" i="9"/>
  <c r="H35" i="9"/>
  <c r="K35" i="9"/>
  <c r="N35" i="9"/>
  <c r="Q35" i="9"/>
  <c r="H36" i="9"/>
  <c r="K36" i="9"/>
  <c r="N36" i="9"/>
  <c r="Q36" i="9"/>
  <c r="H37" i="9"/>
  <c r="K37" i="9"/>
  <c r="N37" i="9"/>
  <c r="H38" i="9"/>
  <c r="K38" i="9"/>
  <c r="N38" i="9"/>
  <c r="Q38" i="9"/>
  <c r="H8" i="11"/>
  <c r="S24" i="9" l="1"/>
  <c r="S23" i="9"/>
  <c r="S21" i="9"/>
  <c r="S32" i="9"/>
  <c r="S36" i="9"/>
  <c r="S33" i="9"/>
  <c r="S35" i="9"/>
  <c r="S38" i="9"/>
  <c r="S29" i="9"/>
  <c r="S31" i="9"/>
  <c r="S37" i="9"/>
  <c r="S34" i="9"/>
  <c r="S28" i="9"/>
  <c r="S25" i="9"/>
  <c r="S22" i="9"/>
  <c r="T19" i="11"/>
  <c r="T19" i="10" l="1"/>
  <c r="T31" i="12" l="1"/>
  <c r="Q31" i="12"/>
  <c r="N31" i="12"/>
  <c r="K31" i="12"/>
  <c r="H31" i="12"/>
  <c r="T25" i="11"/>
  <c r="S31" i="12" l="1"/>
  <c r="U31" i="12" s="1"/>
  <c r="H20" i="12"/>
  <c r="K20" i="12"/>
  <c r="N20" i="12"/>
  <c r="Q20" i="12"/>
  <c r="S20" i="12" s="1"/>
  <c r="U20" i="12" s="1"/>
  <c r="T20" i="12"/>
  <c r="H21" i="12"/>
  <c r="K21" i="12"/>
  <c r="N21" i="12"/>
  <c r="Q21" i="12"/>
  <c r="T21" i="12"/>
  <c r="H22" i="12"/>
  <c r="K22" i="12"/>
  <c r="N22" i="12"/>
  <c r="Q22" i="12"/>
  <c r="T22" i="12"/>
  <c r="H23" i="12"/>
  <c r="K23" i="12"/>
  <c r="N23" i="12"/>
  <c r="Q23" i="12"/>
  <c r="T23" i="12"/>
  <c r="H24" i="12"/>
  <c r="K24" i="12"/>
  <c r="N24" i="12"/>
  <c r="Q24" i="12"/>
  <c r="T24" i="12"/>
  <c r="H25" i="12"/>
  <c r="K25" i="12"/>
  <c r="N25" i="12"/>
  <c r="Q25" i="12"/>
  <c r="T25" i="12"/>
  <c r="H26" i="12"/>
  <c r="K26" i="12"/>
  <c r="N26" i="12"/>
  <c r="Q26" i="12"/>
  <c r="T26" i="12"/>
  <c r="H27" i="12"/>
  <c r="K27" i="12"/>
  <c r="N27" i="12"/>
  <c r="Q27" i="12"/>
  <c r="S27" i="12" s="1"/>
  <c r="U27" i="12" s="1"/>
  <c r="T27" i="12"/>
  <c r="H28" i="12"/>
  <c r="K28" i="12"/>
  <c r="N28" i="12"/>
  <c r="Q28" i="12"/>
  <c r="T28" i="12"/>
  <c r="H29" i="12"/>
  <c r="K29" i="12"/>
  <c r="N29" i="12"/>
  <c r="Q29" i="12"/>
  <c r="T29" i="12"/>
  <c r="H30" i="12"/>
  <c r="K30" i="12"/>
  <c r="N30" i="12"/>
  <c r="Q30" i="12"/>
  <c r="T30" i="12"/>
  <c r="H32" i="12"/>
  <c r="K32" i="12"/>
  <c r="N32" i="12"/>
  <c r="Q32" i="12"/>
  <c r="T32" i="12"/>
  <c r="H33" i="12"/>
  <c r="K33" i="12"/>
  <c r="N33" i="12"/>
  <c r="Q33" i="12"/>
  <c r="S33" i="12" s="1"/>
  <c r="U33" i="12" s="1"/>
  <c r="T33" i="12"/>
  <c r="H34" i="12"/>
  <c r="K34" i="12"/>
  <c r="N34" i="12"/>
  <c r="Q34" i="12"/>
  <c r="T34" i="12"/>
  <c r="H35" i="12"/>
  <c r="K35" i="12"/>
  <c r="N35" i="12"/>
  <c r="Q35" i="12"/>
  <c r="T35" i="12"/>
  <c r="H36" i="12"/>
  <c r="K36" i="12"/>
  <c r="N36" i="12"/>
  <c r="Q36" i="12"/>
  <c r="T36" i="12"/>
  <c r="H37" i="12"/>
  <c r="K37" i="12"/>
  <c r="N37" i="12"/>
  <c r="Q37" i="12"/>
  <c r="T37" i="12"/>
  <c r="H38" i="12"/>
  <c r="K38" i="12"/>
  <c r="N38" i="12"/>
  <c r="Q38" i="12"/>
  <c r="T38" i="12"/>
  <c r="H39" i="12"/>
  <c r="K39" i="12"/>
  <c r="N39" i="12"/>
  <c r="Q39" i="12"/>
  <c r="T39" i="12"/>
  <c r="H40" i="12"/>
  <c r="K40" i="12"/>
  <c r="N40" i="12"/>
  <c r="Q40" i="12"/>
  <c r="S40" i="12" s="1"/>
  <c r="U40" i="12" s="1"/>
  <c r="T40" i="12"/>
  <c r="H41" i="12"/>
  <c r="K41" i="12"/>
  <c r="N41" i="12"/>
  <c r="Q41" i="12"/>
  <c r="T41" i="12"/>
  <c r="H42" i="12"/>
  <c r="K42" i="12"/>
  <c r="N42" i="12"/>
  <c r="Q42" i="12"/>
  <c r="T42" i="12"/>
  <c r="H43" i="12"/>
  <c r="K43" i="12"/>
  <c r="N43" i="12"/>
  <c r="Q43" i="12"/>
  <c r="T43" i="12"/>
  <c r="H44" i="12"/>
  <c r="K44" i="12"/>
  <c r="N44" i="12"/>
  <c r="Q44" i="12"/>
  <c r="T44" i="12"/>
  <c r="H45" i="12"/>
  <c r="K45" i="12"/>
  <c r="N45" i="12"/>
  <c r="Q45" i="12"/>
  <c r="S45" i="12" s="1"/>
  <c r="U45" i="12" s="1"/>
  <c r="T45" i="12"/>
  <c r="H46" i="12"/>
  <c r="K46" i="12"/>
  <c r="N46" i="12"/>
  <c r="Q46" i="12"/>
  <c r="T46" i="12"/>
  <c r="H47" i="12"/>
  <c r="K47" i="12"/>
  <c r="N47" i="12"/>
  <c r="Q47" i="12"/>
  <c r="T47" i="12"/>
  <c r="H48" i="12"/>
  <c r="K48" i="12"/>
  <c r="N48" i="12"/>
  <c r="Q48" i="12"/>
  <c r="T48" i="12"/>
  <c r="H49" i="12"/>
  <c r="K49" i="12"/>
  <c r="N49" i="12"/>
  <c r="Q49" i="12"/>
  <c r="T49" i="12"/>
  <c r="H50" i="12"/>
  <c r="K50" i="12"/>
  <c r="N50" i="12"/>
  <c r="Q50" i="12"/>
  <c r="T50" i="12"/>
  <c r="H51" i="12"/>
  <c r="K51" i="12"/>
  <c r="N51" i="12"/>
  <c r="Q51" i="12"/>
  <c r="T51" i="12"/>
  <c r="H52" i="12"/>
  <c r="K52" i="12"/>
  <c r="N52" i="12"/>
  <c r="Q52" i="12"/>
  <c r="S52" i="12" s="1"/>
  <c r="U52" i="12" s="1"/>
  <c r="T52" i="12"/>
  <c r="H53" i="12"/>
  <c r="K53" i="12"/>
  <c r="N53" i="12"/>
  <c r="Q53" i="12"/>
  <c r="T53" i="12"/>
  <c r="H54" i="12"/>
  <c r="K54" i="12"/>
  <c r="N54" i="12"/>
  <c r="Q54" i="12"/>
  <c r="T54" i="12"/>
  <c r="H55" i="12"/>
  <c r="K55" i="12"/>
  <c r="N55" i="12"/>
  <c r="Q55" i="12"/>
  <c r="S55" i="12" s="1"/>
  <c r="U55" i="12" s="1"/>
  <c r="T55" i="12"/>
  <c r="H56" i="12"/>
  <c r="K56" i="12"/>
  <c r="N56" i="12"/>
  <c r="Q56" i="12"/>
  <c r="T56" i="12"/>
  <c r="H57" i="12"/>
  <c r="K57" i="12"/>
  <c r="N57" i="12"/>
  <c r="Q57" i="12"/>
  <c r="S57" i="12" s="1"/>
  <c r="U57" i="12" s="1"/>
  <c r="T57" i="12"/>
  <c r="H58" i="12"/>
  <c r="K58" i="12"/>
  <c r="N58" i="12"/>
  <c r="Q58" i="12"/>
  <c r="S58" i="12" s="1"/>
  <c r="U58" i="12" s="1"/>
  <c r="T58" i="12"/>
  <c r="H59" i="12"/>
  <c r="K59" i="12"/>
  <c r="N59" i="12"/>
  <c r="Q59" i="12"/>
  <c r="T59" i="12"/>
  <c r="Q32" i="13"/>
  <c r="N32" i="13"/>
  <c r="K32" i="13"/>
  <c r="H32" i="13"/>
  <c r="Q31" i="13"/>
  <c r="N31" i="13"/>
  <c r="K31" i="13"/>
  <c r="H31" i="13"/>
  <c r="Q30" i="13"/>
  <c r="N30" i="13"/>
  <c r="K30" i="13"/>
  <c r="H30" i="13"/>
  <c r="Q29" i="13"/>
  <c r="N29" i="13"/>
  <c r="K29" i="13"/>
  <c r="H29" i="13"/>
  <c r="Q28" i="13"/>
  <c r="N28" i="13"/>
  <c r="K28" i="13"/>
  <c r="H28" i="13"/>
  <c r="Q27" i="13"/>
  <c r="N27" i="13"/>
  <c r="K27" i="13"/>
  <c r="H27" i="13"/>
  <c r="Q26" i="13"/>
  <c r="N26" i="13"/>
  <c r="K26" i="13"/>
  <c r="H26" i="13"/>
  <c r="Q25" i="13"/>
  <c r="N25" i="13"/>
  <c r="K25" i="13"/>
  <c r="H25" i="13"/>
  <c r="Q24" i="13"/>
  <c r="N24" i="13"/>
  <c r="K24" i="13"/>
  <c r="H24" i="13"/>
  <c r="Q23" i="13"/>
  <c r="N23" i="13"/>
  <c r="K23" i="13"/>
  <c r="H23" i="13"/>
  <c r="Q22" i="13"/>
  <c r="N22" i="13"/>
  <c r="K22" i="13"/>
  <c r="H22" i="13"/>
  <c r="Q21" i="13"/>
  <c r="N21" i="13"/>
  <c r="K21" i="13"/>
  <c r="H21" i="13"/>
  <c r="Q20" i="13"/>
  <c r="N20" i="13"/>
  <c r="K20" i="13"/>
  <c r="H20" i="13"/>
  <c r="T32" i="13"/>
  <c r="T31" i="13"/>
  <c r="T30" i="13"/>
  <c r="T29" i="13"/>
  <c r="T28" i="13"/>
  <c r="T27" i="13"/>
  <c r="T26" i="13"/>
  <c r="T25" i="13"/>
  <c r="S56" i="12" l="1"/>
  <c r="U56" i="12" s="1"/>
  <c r="S32" i="12"/>
  <c r="U32" i="12" s="1"/>
  <c r="S34" i="12"/>
  <c r="U34" i="12" s="1"/>
  <c r="S21" i="12"/>
  <c r="U21" i="12" s="1"/>
  <c r="S46" i="12"/>
  <c r="U46" i="12" s="1"/>
  <c r="S43" i="12"/>
  <c r="U43" i="12" s="1"/>
  <c r="S30" i="12"/>
  <c r="U30" i="12" s="1"/>
  <c r="S51" i="12"/>
  <c r="U51" i="12" s="1"/>
  <c r="S53" i="12"/>
  <c r="U53" i="12" s="1"/>
  <c r="S41" i="12"/>
  <c r="U41" i="12" s="1"/>
  <c r="S28" i="12"/>
  <c r="U28" i="12" s="1"/>
  <c r="S48" i="12"/>
  <c r="U48" i="12" s="1"/>
  <c r="S36" i="12"/>
  <c r="U36" i="12" s="1"/>
  <c r="S23" i="12"/>
  <c r="U23" i="12" s="1"/>
  <c r="S39" i="12"/>
  <c r="U39" i="12" s="1"/>
  <c r="S26" i="12"/>
  <c r="U26" i="12" s="1"/>
  <c r="S50" i="12"/>
  <c r="U50" i="12" s="1"/>
  <c r="S38" i="12"/>
  <c r="U38" i="12" s="1"/>
  <c r="S25" i="12"/>
  <c r="U25" i="12" s="1"/>
  <c r="S59" i="12"/>
  <c r="U59" i="12" s="1"/>
  <c r="S47" i="12"/>
  <c r="U47" i="12" s="1"/>
  <c r="S35" i="12"/>
  <c r="U35" i="12" s="1"/>
  <c r="S22" i="12"/>
  <c r="U22" i="12" s="1"/>
  <c r="S44" i="12"/>
  <c r="U44" i="12" s="1"/>
  <c r="S54" i="12"/>
  <c r="U54" i="12" s="1"/>
  <c r="S42" i="12"/>
  <c r="U42" i="12" s="1"/>
  <c r="S29" i="12"/>
  <c r="U29" i="12" s="1"/>
  <c r="S49" i="12"/>
  <c r="U49" i="12" s="1"/>
  <c r="S37" i="12"/>
  <c r="U37" i="12" s="1"/>
  <c r="S24" i="12"/>
  <c r="U24" i="12" s="1"/>
  <c r="T37" i="9"/>
  <c r="U37" i="9" s="1"/>
  <c r="Q29" i="10"/>
  <c r="N29" i="10"/>
  <c r="K29" i="10"/>
  <c r="H29" i="10"/>
  <c r="Q28" i="10"/>
  <c r="N28" i="10"/>
  <c r="K28" i="10"/>
  <c r="H28" i="10"/>
  <c r="Q27" i="10"/>
  <c r="N27" i="10"/>
  <c r="K27" i="10"/>
  <c r="H27" i="10"/>
  <c r="T29" i="10"/>
  <c r="T28" i="10"/>
  <c r="T27" i="10"/>
  <c r="T26" i="10"/>
  <c r="Q26" i="10"/>
  <c r="N26" i="10"/>
  <c r="K26" i="10"/>
  <c r="H26" i="10"/>
  <c r="Q24" i="10"/>
  <c r="N24" i="10"/>
  <c r="K24" i="10"/>
  <c r="H24" i="10"/>
  <c r="Q23" i="10"/>
  <c r="N23" i="10"/>
  <c r="K23" i="10"/>
  <c r="H23" i="10"/>
  <c r="H28" i="3" l="1"/>
  <c r="K28" i="3"/>
  <c r="N28" i="3"/>
  <c r="Q28" i="3"/>
  <c r="T28" i="3"/>
  <c r="H29" i="3"/>
  <c r="K29" i="3"/>
  <c r="N29" i="3"/>
  <c r="Q29" i="3"/>
  <c r="T29" i="3"/>
  <c r="H27" i="3"/>
  <c r="K27" i="3"/>
  <c r="N27" i="3"/>
  <c r="Q27" i="3"/>
  <c r="T27" i="3"/>
  <c r="H22" i="3"/>
  <c r="K22" i="3"/>
  <c r="N22" i="3"/>
  <c r="Q22" i="3"/>
  <c r="T22" i="3"/>
  <c r="K19" i="11"/>
  <c r="K19" i="6"/>
  <c r="K29" i="6"/>
  <c r="T29" i="6"/>
  <c r="H29" i="6"/>
  <c r="N29" i="6"/>
  <c r="Q29" i="6"/>
  <c r="H30" i="6"/>
  <c r="K30" i="6"/>
  <c r="N30" i="6"/>
  <c r="Q30" i="6"/>
  <c r="T30" i="6"/>
  <c r="T24" i="6"/>
  <c r="Q24" i="6"/>
  <c r="H24" i="6"/>
  <c r="K24" i="6"/>
  <c r="N24" i="6"/>
  <c r="S30" i="6" l="1"/>
  <c r="U30" i="6" s="1"/>
  <c r="S29" i="6"/>
  <c r="U29" i="6" s="1"/>
  <c r="S24" i="6"/>
  <c r="U24" i="6" s="1"/>
  <c r="T20" i="13"/>
  <c r="T23" i="6"/>
  <c r="T19" i="6"/>
  <c r="T19" i="12"/>
  <c r="T29" i="11"/>
  <c r="T24" i="11"/>
  <c r="T20" i="11"/>
  <c r="T21" i="11"/>
  <c r="N25" i="3"/>
  <c r="K25" i="3"/>
  <c r="H25" i="3"/>
  <c r="N24" i="3"/>
  <c r="K24" i="3"/>
  <c r="H24" i="3"/>
  <c r="N23" i="3"/>
  <c r="K23" i="3"/>
  <c r="H23" i="3"/>
  <c r="T23" i="10" l="1"/>
  <c r="T20" i="10"/>
  <c r="Q20" i="10"/>
  <c r="N20" i="10"/>
  <c r="K20" i="10"/>
  <c r="H20" i="10"/>
  <c r="T26" i="9" l="1"/>
  <c r="U26" i="9" s="1"/>
  <c r="T26" i="6"/>
  <c r="Q26" i="6"/>
  <c r="N26" i="6"/>
  <c r="K26" i="6"/>
  <c r="S26" i="6" s="1"/>
  <c r="U26" i="6" s="1"/>
  <c r="H26" i="6"/>
  <c r="T24" i="13"/>
  <c r="T23" i="13"/>
  <c r="T22" i="13"/>
  <c r="T21" i="13"/>
  <c r="T19" i="13"/>
  <c r="Q19" i="13"/>
  <c r="N19" i="13"/>
  <c r="K19" i="13"/>
  <c r="H19" i="13"/>
  <c r="H8" i="13"/>
  <c r="S23" i="13" l="1"/>
  <c r="U23" i="13" s="1"/>
  <c r="S22" i="13"/>
  <c r="U22" i="13" s="1"/>
  <c r="S21" i="13"/>
  <c r="U21" i="13" s="1"/>
  <c r="S19" i="13"/>
  <c r="U19" i="13" s="1"/>
  <c r="S30" i="13"/>
  <c r="U30" i="13" s="1"/>
  <c r="S29" i="13"/>
  <c r="U29" i="13" s="1"/>
  <c r="S31" i="13"/>
  <c r="U31" i="13" s="1"/>
  <c r="S28" i="13"/>
  <c r="U28" i="13" s="1"/>
  <c r="S32" i="13"/>
  <c r="U32" i="13" s="1"/>
  <c r="S27" i="13"/>
  <c r="U27" i="13" s="1"/>
  <c r="S26" i="13"/>
  <c r="U26" i="13" s="1"/>
  <c r="S25" i="13"/>
  <c r="U25" i="13" s="1"/>
  <c r="S24" i="13"/>
  <c r="U24" i="13" s="1"/>
  <c r="S20" i="13"/>
  <c r="U20" i="13" s="1"/>
  <c r="V26" i="13" l="1"/>
  <c r="W26" i="13" s="1"/>
  <c r="Y26" i="13" s="1"/>
  <c r="AE26" i="13" s="1"/>
  <c r="V25" i="13"/>
  <c r="W25" i="13" s="1"/>
  <c r="Y25" i="13" s="1"/>
  <c r="V24" i="13"/>
  <c r="W24" i="13" s="1"/>
  <c r="Y24" i="13" s="1"/>
  <c r="AE24" i="13" s="1"/>
  <c r="V23" i="13"/>
  <c r="W23" i="13" s="1"/>
  <c r="Y23" i="13" s="1"/>
  <c r="V22" i="13"/>
  <c r="W22" i="13" s="1"/>
  <c r="Y22" i="13" s="1"/>
  <c r="V21" i="13"/>
  <c r="W21" i="13" s="1"/>
  <c r="Y21" i="13" s="1"/>
  <c r="V20" i="13"/>
  <c r="W20" i="13" s="1"/>
  <c r="Y20" i="13" s="1"/>
  <c r="AE20" i="13" s="1"/>
  <c r="V31" i="13"/>
  <c r="W31" i="13" s="1"/>
  <c r="Y31" i="13" s="1"/>
  <c r="AE31" i="13" s="1"/>
  <c r="V28" i="13"/>
  <c r="W28" i="13" s="1"/>
  <c r="Y28" i="13" s="1"/>
  <c r="AE28" i="13" s="1"/>
  <c r="V19" i="13"/>
  <c r="W19" i="13" s="1"/>
  <c r="Y19" i="13" s="1"/>
  <c r="V32" i="13"/>
  <c r="W32" i="13" s="1"/>
  <c r="Y32" i="13" s="1"/>
  <c r="AE32" i="13" s="1"/>
  <c r="V30" i="13"/>
  <c r="W30" i="13" s="1"/>
  <c r="Y30" i="13" s="1"/>
  <c r="V29" i="13"/>
  <c r="W29" i="13" s="1"/>
  <c r="Y29" i="13" s="1"/>
  <c r="AE29" i="13" s="1"/>
  <c r="V27" i="13"/>
  <c r="W27" i="13" s="1"/>
  <c r="Y27" i="13" s="1"/>
  <c r="AA27" i="13" l="1"/>
  <c r="AE30" i="13"/>
  <c r="AA30" i="13"/>
  <c r="AA22" i="13"/>
  <c r="AE22" i="13"/>
  <c r="AA23" i="13"/>
  <c r="E42" i="5" s="1"/>
  <c r="AE23" i="13"/>
  <c r="AA21" i="13"/>
  <c r="AE21" i="13"/>
  <c r="AE19" i="13"/>
  <c r="AA19" i="13"/>
  <c r="AA25" i="13"/>
  <c r="AE27" i="13"/>
  <c r="AE25" i="13"/>
  <c r="T33" i="11"/>
  <c r="T32" i="11"/>
  <c r="T31" i="11"/>
  <c r="T30" i="11"/>
  <c r="Q19" i="12"/>
  <c r="N19" i="12"/>
  <c r="K19" i="12"/>
  <c r="H19" i="12"/>
  <c r="H8" i="12"/>
  <c r="T36" i="11"/>
  <c r="T22" i="11"/>
  <c r="T37" i="11"/>
  <c r="T35" i="11"/>
  <c r="T34" i="11"/>
  <c r="T28" i="11"/>
  <c r="T27" i="11"/>
  <c r="T26" i="11"/>
  <c r="T23" i="11"/>
  <c r="Q19" i="11"/>
  <c r="N19" i="11"/>
  <c r="H19" i="11"/>
  <c r="T25" i="10"/>
  <c r="Q25" i="10"/>
  <c r="N25" i="10"/>
  <c r="K25" i="10"/>
  <c r="H25" i="10"/>
  <c r="T24" i="10"/>
  <c r="T22" i="10"/>
  <c r="Q22" i="10"/>
  <c r="N22" i="10"/>
  <c r="K22" i="10"/>
  <c r="H22" i="10"/>
  <c r="T21" i="10"/>
  <c r="Q21" i="10"/>
  <c r="N21" i="10"/>
  <c r="K21" i="10"/>
  <c r="H21" i="10"/>
  <c r="Q19" i="10"/>
  <c r="N19" i="10"/>
  <c r="K19" i="10"/>
  <c r="H19" i="10"/>
  <c r="H8" i="10"/>
  <c r="E40" i="5" l="1"/>
  <c r="E41" i="5"/>
  <c r="S19" i="11"/>
  <c r="U19" i="11" s="1"/>
  <c r="E39" i="5"/>
  <c r="S19" i="12"/>
  <c r="U19" i="12" s="1"/>
  <c r="S28" i="10"/>
  <c r="U28" i="10" s="1"/>
  <c r="S21" i="10"/>
  <c r="U21" i="10" s="1"/>
  <c r="S24" i="10"/>
  <c r="U24" i="10" s="1"/>
  <c r="S22" i="10"/>
  <c r="U22" i="10" s="1"/>
  <c r="S25" i="10"/>
  <c r="U25" i="10" s="1"/>
  <c r="S29" i="10"/>
  <c r="U29" i="10" s="1"/>
  <c r="S23" i="10"/>
  <c r="U23" i="10" s="1"/>
  <c r="S27" i="10"/>
  <c r="U27" i="10" s="1"/>
  <c r="S26" i="10"/>
  <c r="U26" i="10" s="1"/>
  <c r="S19" i="10"/>
  <c r="U19" i="10" s="1"/>
  <c r="S20" i="10"/>
  <c r="U20" i="10" s="1"/>
  <c r="S27" i="11"/>
  <c r="S23" i="11"/>
  <c r="S26" i="11"/>
  <c r="U26" i="11" s="1"/>
  <c r="S25" i="11"/>
  <c r="S24" i="11"/>
  <c r="S21" i="11"/>
  <c r="U21" i="11" s="1"/>
  <c r="S36" i="11"/>
  <c r="S35" i="11"/>
  <c r="S37" i="11"/>
  <c r="S32" i="11"/>
  <c r="S31" i="11"/>
  <c r="S22" i="11"/>
  <c r="S30" i="11"/>
  <c r="S29" i="11"/>
  <c r="S33" i="11"/>
  <c r="U33" i="11" s="1"/>
  <c r="S28" i="11"/>
  <c r="S34" i="11"/>
  <c r="S20" i="11"/>
  <c r="U20" i="11" s="1"/>
  <c r="T38" i="9"/>
  <c r="U38" i="9" s="1"/>
  <c r="T36" i="9"/>
  <c r="U36" i="9" s="1"/>
  <c r="T35" i="9"/>
  <c r="U35" i="9" s="1"/>
  <c r="T34" i="9"/>
  <c r="U34" i="9" s="1"/>
  <c r="T33" i="9"/>
  <c r="U33" i="9" s="1"/>
  <c r="T32" i="9"/>
  <c r="U32" i="9" s="1"/>
  <c r="T31" i="9"/>
  <c r="U31" i="9" s="1"/>
  <c r="T30" i="9"/>
  <c r="U30" i="9" s="1"/>
  <c r="T29" i="9"/>
  <c r="U29" i="9" s="1"/>
  <c r="T28" i="9"/>
  <c r="U28" i="9" s="1"/>
  <c r="T27" i="9"/>
  <c r="U27" i="9" s="1"/>
  <c r="T25" i="9"/>
  <c r="U25" i="9" s="1"/>
  <c r="T24" i="9"/>
  <c r="U24" i="9" s="1"/>
  <c r="T23" i="9"/>
  <c r="U23" i="9" s="1"/>
  <c r="T22" i="9"/>
  <c r="U22" i="9" s="1"/>
  <c r="T21" i="9"/>
  <c r="U21" i="9" s="1"/>
  <c r="T20" i="9"/>
  <c r="S20" i="9"/>
  <c r="U20" i="9" s="1"/>
  <c r="T19" i="9"/>
  <c r="Q19" i="9"/>
  <c r="N19" i="9"/>
  <c r="K19" i="9"/>
  <c r="H19" i="9"/>
  <c r="H8" i="9"/>
  <c r="Q19" i="6"/>
  <c r="N20" i="6"/>
  <c r="N21" i="6"/>
  <c r="N22" i="6"/>
  <c r="N23" i="6"/>
  <c r="N25" i="6"/>
  <c r="N27" i="6"/>
  <c r="N28" i="6"/>
  <c r="N31" i="6"/>
  <c r="H20" i="6"/>
  <c r="H21" i="6"/>
  <c r="H22" i="6"/>
  <c r="H23" i="6"/>
  <c r="H25" i="6"/>
  <c r="H27" i="6"/>
  <c r="H28" i="6"/>
  <c r="H31" i="6"/>
  <c r="K20" i="6"/>
  <c r="K21" i="6"/>
  <c r="K22" i="6"/>
  <c r="K23" i="6"/>
  <c r="K25" i="6"/>
  <c r="K27" i="6"/>
  <c r="K28" i="6"/>
  <c r="K31" i="6"/>
  <c r="N19" i="6"/>
  <c r="H8" i="6"/>
  <c r="H19" i="6"/>
  <c r="Q20" i="3"/>
  <c r="Q21" i="3"/>
  <c r="Q23" i="3"/>
  <c r="Q24" i="3"/>
  <c r="Q25" i="3"/>
  <c r="Q26" i="3"/>
  <c r="Q30" i="3"/>
  <c r="Q31" i="3"/>
  <c r="Q32" i="3"/>
  <c r="N20" i="3"/>
  <c r="N21" i="3"/>
  <c r="N26" i="3"/>
  <c r="N30" i="3"/>
  <c r="N31" i="3"/>
  <c r="N32" i="3"/>
  <c r="K20" i="3"/>
  <c r="K21" i="3"/>
  <c r="K26" i="3"/>
  <c r="K30" i="3"/>
  <c r="K31" i="3"/>
  <c r="K32" i="3"/>
  <c r="H20" i="3"/>
  <c r="H21" i="3"/>
  <c r="H26" i="3"/>
  <c r="H30" i="3"/>
  <c r="H31" i="3"/>
  <c r="H32" i="3"/>
  <c r="H8" i="3"/>
  <c r="Q19" i="3"/>
  <c r="N19" i="3"/>
  <c r="H19" i="3"/>
  <c r="K19" i="3"/>
  <c r="AF33" i="13" l="1"/>
  <c r="V28" i="10"/>
  <c r="W28" i="10" s="1"/>
  <c r="V27" i="10"/>
  <c r="W27" i="10" s="1"/>
  <c r="Y29" i="10" s="1"/>
  <c r="AE29" i="10" s="1"/>
  <c r="V26" i="10"/>
  <c r="W26" i="10" s="1"/>
  <c r="V25" i="10"/>
  <c r="W25" i="10" s="1"/>
  <c r="V24" i="10"/>
  <c r="W24" i="10" s="1"/>
  <c r="Y24" i="10" s="1"/>
  <c r="AE24" i="10" s="1"/>
  <c r="V23" i="10"/>
  <c r="W23" i="10" s="1"/>
  <c r="Y23" i="10" s="1"/>
  <c r="V22" i="10"/>
  <c r="W22" i="10" s="1"/>
  <c r="Y22" i="10" s="1"/>
  <c r="AE22" i="10" s="1"/>
  <c r="V21" i="10"/>
  <c r="W21" i="10" s="1"/>
  <c r="Y21" i="10" s="1"/>
  <c r="V20" i="10"/>
  <c r="W20" i="10" s="1"/>
  <c r="Y20" i="10" s="1"/>
  <c r="AE20" i="10" s="1"/>
  <c r="V29" i="10"/>
  <c r="W29" i="10" s="1"/>
  <c r="V19" i="10"/>
  <c r="W19" i="10" s="1"/>
  <c r="Y19" i="10" s="1"/>
  <c r="V51" i="12"/>
  <c r="W51" i="12" s="1"/>
  <c r="Y51" i="12" s="1"/>
  <c r="AE51" i="12" s="1"/>
  <c r="V35" i="12"/>
  <c r="W35" i="12" s="1"/>
  <c r="Y35" i="12" s="1"/>
  <c r="AE35" i="12" s="1"/>
  <c r="V19" i="12"/>
  <c r="W19" i="12" s="1"/>
  <c r="Y19" i="12" s="1"/>
  <c r="AE19" i="12" s="1"/>
  <c r="V48" i="12"/>
  <c r="W48" i="12" s="1"/>
  <c r="Y48" i="12" s="1"/>
  <c r="V50" i="12"/>
  <c r="W50" i="12" s="1"/>
  <c r="Y50" i="12" s="1"/>
  <c r="AE50" i="12" s="1"/>
  <c r="V34" i="12"/>
  <c r="W34" i="12" s="1"/>
  <c r="Y34" i="12" s="1"/>
  <c r="AE34" i="12" s="1"/>
  <c r="V32" i="12"/>
  <c r="W32" i="12" s="1"/>
  <c r="Y32" i="12" s="1"/>
  <c r="V49" i="12"/>
  <c r="W49" i="12" s="1"/>
  <c r="Y49" i="12" s="1"/>
  <c r="AE49" i="12" s="1"/>
  <c r="V33" i="12"/>
  <c r="W33" i="12" s="1"/>
  <c r="Y33" i="12" s="1"/>
  <c r="AE33" i="12" s="1"/>
  <c r="V47" i="12"/>
  <c r="W47" i="12" s="1"/>
  <c r="Y47" i="12" s="1"/>
  <c r="AE47" i="12" s="1"/>
  <c r="V31" i="12"/>
  <c r="W31" i="12" s="1"/>
  <c r="Y31" i="12" s="1"/>
  <c r="AE31" i="12" s="1"/>
  <c r="V54" i="12"/>
  <c r="W54" i="12" s="1"/>
  <c r="V20" i="12"/>
  <c r="W20" i="12" s="1"/>
  <c r="Y20" i="12" s="1"/>
  <c r="AE20" i="12" s="1"/>
  <c r="V46" i="12"/>
  <c r="W46" i="12" s="1"/>
  <c r="Y46" i="12" s="1"/>
  <c r="AE46" i="12" s="1"/>
  <c r="V30" i="12"/>
  <c r="W30" i="12" s="1"/>
  <c r="Y30" i="12" s="1"/>
  <c r="AE30" i="12" s="1"/>
  <c r="V53" i="12"/>
  <c r="W53" i="12" s="1"/>
  <c r="Y53" i="12" s="1"/>
  <c r="AE53" i="12" s="1"/>
  <c r="V45" i="12"/>
  <c r="W45" i="12" s="1"/>
  <c r="Y45" i="12" s="1"/>
  <c r="AE45" i="12" s="1"/>
  <c r="V29" i="12"/>
  <c r="W29" i="12" s="1"/>
  <c r="Y29" i="12" s="1"/>
  <c r="AE29" i="12" s="1"/>
  <c r="V21" i="12"/>
  <c r="W21" i="12" s="1"/>
  <c r="Y21" i="12" s="1"/>
  <c r="AE21" i="12" s="1"/>
  <c r="V44" i="12"/>
  <c r="W44" i="12" s="1"/>
  <c r="Y44" i="12" s="1"/>
  <c r="AE44" i="12" s="1"/>
  <c r="V28" i="12"/>
  <c r="W28" i="12" s="1"/>
  <c r="Y28" i="12" s="1"/>
  <c r="AE28" i="12" s="1"/>
  <c r="V59" i="12"/>
  <c r="W59" i="12" s="1"/>
  <c r="Y59" i="12" s="1"/>
  <c r="AE59" i="12" s="1"/>
  <c r="V43" i="12"/>
  <c r="W43" i="12" s="1"/>
  <c r="Y43" i="12" s="1"/>
  <c r="AE43" i="12" s="1"/>
  <c r="V27" i="12"/>
  <c r="W27" i="12" s="1"/>
  <c r="Y27" i="12" s="1"/>
  <c r="AE27" i="12" s="1"/>
  <c r="V22" i="12"/>
  <c r="W22" i="12" s="1"/>
  <c r="Y22" i="12" s="1"/>
  <c r="AE22" i="12" s="1"/>
  <c r="V58" i="12"/>
  <c r="W58" i="12" s="1"/>
  <c r="Y58" i="12" s="1"/>
  <c r="AE58" i="12" s="1"/>
  <c r="V42" i="12"/>
  <c r="W42" i="12" s="1"/>
  <c r="Y42" i="12" s="1"/>
  <c r="V26" i="12"/>
  <c r="W26" i="12" s="1"/>
  <c r="Y26" i="12" s="1"/>
  <c r="AE26" i="12" s="1"/>
  <c r="V37" i="12"/>
  <c r="W37" i="12" s="1"/>
  <c r="Y37" i="12" s="1"/>
  <c r="AE37" i="12" s="1"/>
  <c r="V52" i="12"/>
  <c r="W52" i="12" s="1"/>
  <c r="Y52" i="12" s="1"/>
  <c r="V57" i="12"/>
  <c r="W57" i="12" s="1"/>
  <c r="Y57" i="12" s="1"/>
  <c r="V41" i="12"/>
  <c r="W41" i="12" s="1"/>
  <c r="Y41" i="12" s="1"/>
  <c r="AE41" i="12" s="1"/>
  <c r="V25" i="12"/>
  <c r="W25" i="12" s="1"/>
  <c r="Y25" i="12" s="1"/>
  <c r="AE25" i="12" s="1"/>
  <c r="V38" i="12"/>
  <c r="W38" i="12" s="1"/>
  <c r="Y38" i="12" s="1"/>
  <c r="AE38" i="12" s="1"/>
  <c r="V56" i="12"/>
  <c r="W56" i="12" s="1"/>
  <c r="Y56" i="12" s="1"/>
  <c r="AA56" i="12" s="1"/>
  <c r="V40" i="12"/>
  <c r="W40" i="12" s="1"/>
  <c r="Y40" i="12" s="1"/>
  <c r="AE40" i="12" s="1"/>
  <c r="V24" i="12"/>
  <c r="W24" i="12" s="1"/>
  <c r="Y24" i="12" s="1"/>
  <c r="AE24" i="12" s="1"/>
  <c r="V55" i="12"/>
  <c r="W55" i="12" s="1"/>
  <c r="Y55" i="12" s="1"/>
  <c r="AE55" i="12" s="1"/>
  <c r="V39" i="12"/>
  <c r="W39" i="12" s="1"/>
  <c r="Y39" i="12" s="1"/>
  <c r="AE39" i="12" s="1"/>
  <c r="V23" i="12"/>
  <c r="W23" i="12" s="1"/>
  <c r="Y23" i="12" s="1"/>
  <c r="AE23" i="12" s="1"/>
  <c r="V36" i="12"/>
  <c r="W36" i="12" s="1"/>
  <c r="Y36" i="12" s="1"/>
  <c r="AE36" i="12" s="1"/>
  <c r="AF35" i="13"/>
  <c r="S19" i="6"/>
  <c r="U19" i="6" s="1"/>
  <c r="E45" i="5"/>
  <c r="S28" i="6"/>
  <c r="U28" i="6" s="1"/>
  <c r="S28" i="3"/>
  <c r="U28" i="3" s="1"/>
  <c r="S27" i="3"/>
  <c r="U27" i="3" s="1"/>
  <c r="S26" i="3"/>
  <c r="U26" i="3" s="1"/>
  <c r="S32" i="3"/>
  <c r="U32" i="3" s="1"/>
  <c r="S25" i="3"/>
  <c r="U25" i="3" s="1"/>
  <c r="S24" i="3"/>
  <c r="U24" i="3" s="1"/>
  <c r="S23" i="3"/>
  <c r="U23" i="3" s="1"/>
  <c r="S22" i="3"/>
  <c r="U22" i="3" s="1"/>
  <c r="S31" i="3"/>
  <c r="U31" i="3" s="1"/>
  <c r="S21" i="3"/>
  <c r="U21" i="3" s="1"/>
  <c r="S29" i="3"/>
  <c r="U29" i="3" s="1"/>
  <c r="S20" i="3"/>
  <c r="U20" i="3" s="1"/>
  <c r="S30" i="3"/>
  <c r="U30" i="3" s="1"/>
  <c r="S19" i="3"/>
  <c r="U19" i="3" s="1"/>
  <c r="S19" i="9"/>
  <c r="U19" i="9" s="1"/>
  <c r="U31" i="11"/>
  <c r="U32" i="11"/>
  <c r="U37" i="11"/>
  <c r="U35" i="11"/>
  <c r="U36" i="11"/>
  <c r="U34" i="11"/>
  <c r="U24" i="11"/>
  <c r="U28" i="11"/>
  <c r="U25" i="11"/>
  <c r="U29" i="11"/>
  <c r="U23" i="11"/>
  <c r="U30" i="11"/>
  <c r="U27" i="11"/>
  <c r="U22" i="11"/>
  <c r="V26" i="11" s="1"/>
  <c r="W26" i="11" s="1"/>
  <c r="Y26" i="11" s="1"/>
  <c r="E44" i="5"/>
  <c r="E43" i="5"/>
  <c r="Y54" i="12"/>
  <c r="AE54" i="12" s="1"/>
  <c r="T28" i="6"/>
  <c r="Q28" i="6"/>
  <c r="AA48" i="12" l="1"/>
  <c r="AA19" i="10"/>
  <c r="V32" i="3"/>
  <c r="W32" i="3" s="1"/>
  <c r="V31" i="3"/>
  <c r="W31" i="3" s="1"/>
  <c r="V30" i="3"/>
  <c r="W30" i="3" s="1"/>
  <c r="V29" i="3"/>
  <c r="W29" i="3" s="1"/>
  <c r="Y29" i="3" s="1"/>
  <c r="AE29" i="3" s="1"/>
  <c r="V28" i="3"/>
  <c r="W28" i="3" s="1"/>
  <c r="Y28" i="3" s="1"/>
  <c r="V27" i="3"/>
  <c r="W27" i="3" s="1"/>
  <c r="Y27" i="3" s="1"/>
  <c r="V26" i="3"/>
  <c r="W26" i="3" s="1"/>
  <c r="V20" i="3"/>
  <c r="W20" i="3" s="1"/>
  <c r="V25" i="3"/>
  <c r="W25" i="3" s="1"/>
  <c r="V24" i="3"/>
  <c r="W24" i="3" s="1"/>
  <c r="V23" i="3"/>
  <c r="W23" i="3" s="1"/>
  <c r="V22" i="3"/>
  <c r="W22" i="3" s="1"/>
  <c r="Y22" i="3" s="1"/>
  <c r="AE22" i="3" s="1"/>
  <c r="V21" i="3"/>
  <c r="W21" i="3" s="1"/>
  <c r="V19" i="3"/>
  <c r="W19" i="3" s="1"/>
  <c r="AE23" i="10"/>
  <c r="AA23" i="10"/>
  <c r="AE21" i="10"/>
  <c r="AA21" i="10"/>
  <c r="E48" i="5" s="1"/>
  <c r="Y27" i="10"/>
  <c r="AE27" i="10" s="1"/>
  <c r="Y25" i="10"/>
  <c r="AA25" i="10" s="1"/>
  <c r="Y26" i="10"/>
  <c r="AA26" i="10" s="1"/>
  <c r="Y28" i="10"/>
  <c r="AE28" i="10" s="1"/>
  <c r="V29" i="9"/>
  <c r="W29" i="9" s="1"/>
  <c r="Y29" i="9" s="1"/>
  <c r="V28" i="9"/>
  <c r="W28" i="9" s="1"/>
  <c r="Y28" i="9" s="1"/>
  <c r="AE28" i="9" s="1"/>
  <c r="V32" i="9"/>
  <c r="W32" i="9" s="1"/>
  <c r="Y32" i="9" s="1"/>
  <c r="V27" i="9"/>
  <c r="W27" i="9" s="1"/>
  <c r="Y27" i="9" s="1"/>
  <c r="V26" i="9"/>
  <c r="W26" i="9" s="1"/>
  <c r="Y26" i="9" s="1"/>
  <c r="AE26" i="9" s="1"/>
  <c r="V25" i="9"/>
  <c r="W25" i="9" s="1"/>
  <c r="Y25" i="9" s="1"/>
  <c r="V33" i="9"/>
  <c r="W33" i="9" s="1"/>
  <c r="Y33" i="9" s="1"/>
  <c r="AE33" i="9" s="1"/>
  <c r="V24" i="9"/>
  <c r="W24" i="9" s="1"/>
  <c r="Y24" i="9" s="1"/>
  <c r="AE24" i="9" s="1"/>
  <c r="V23" i="9"/>
  <c r="W23" i="9" s="1"/>
  <c r="Y23" i="9" s="1"/>
  <c r="V38" i="9"/>
  <c r="W38" i="9" s="1"/>
  <c r="Y38" i="9" s="1"/>
  <c r="AE38" i="9" s="1"/>
  <c r="V22" i="9"/>
  <c r="W22" i="9" s="1"/>
  <c r="Y22" i="9" s="1"/>
  <c r="AA22" i="9" s="1"/>
  <c r="V30" i="9"/>
  <c r="W30" i="9" s="1"/>
  <c r="Y30" i="9" s="1"/>
  <c r="AE30" i="9" s="1"/>
  <c r="V37" i="9"/>
  <c r="W37" i="9" s="1"/>
  <c r="Y37" i="9" s="1"/>
  <c r="AE37" i="9" s="1"/>
  <c r="V21" i="9"/>
  <c r="W21" i="9" s="1"/>
  <c r="Y21" i="9" s="1"/>
  <c r="AA21" i="9" s="1"/>
  <c r="V36" i="9"/>
  <c r="W36" i="9" s="1"/>
  <c r="Y36" i="9" s="1"/>
  <c r="AE36" i="9" s="1"/>
  <c r="V20" i="9"/>
  <c r="W20" i="9" s="1"/>
  <c r="V35" i="9"/>
  <c r="W35" i="9" s="1"/>
  <c r="Y35" i="9" s="1"/>
  <c r="AE35" i="9" s="1"/>
  <c r="V19" i="9"/>
  <c r="W19" i="9" s="1"/>
  <c r="Y19" i="9" s="1"/>
  <c r="V34" i="9"/>
  <c r="W34" i="9" s="1"/>
  <c r="Y34" i="9" s="1"/>
  <c r="AE34" i="9" s="1"/>
  <c r="V31" i="9"/>
  <c r="W31" i="9" s="1"/>
  <c r="Y31" i="9" s="1"/>
  <c r="AE31" i="9" s="1"/>
  <c r="AA42" i="12"/>
  <c r="AA57" i="12"/>
  <c r="AA27" i="12"/>
  <c r="AA32" i="12"/>
  <c r="V29" i="11"/>
  <c r="W29" i="11" s="1"/>
  <c r="Y29" i="11" s="1"/>
  <c r="AE29" i="11" s="1"/>
  <c r="V31" i="11"/>
  <c r="W31" i="11" s="1"/>
  <c r="Y31" i="11" s="1"/>
  <c r="AE31" i="11" s="1"/>
  <c r="V21" i="11"/>
  <c r="W21" i="11" s="1"/>
  <c r="Y21" i="11" s="1"/>
  <c r="AE21" i="11" s="1"/>
  <c r="V36" i="11"/>
  <c r="W36" i="11" s="1"/>
  <c r="Y36" i="11" s="1"/>
  <c r="AE36" i="11" s="1"/>
  <c r="V27" i="11"/>
  <c r="W27" i="11" s="1"/>
  <c r="Y27" i="11" s="1"/>
  <c r="AA27" i="11" s="1"/>
  <c r="AF27" i="11" s="1"/>
  <c r="V19" i="11"/>
  <c r="W19" i="11" s="1"/>
  <c r="Y19" i="11" s="1"/>
  <c r="V28" i="11"/>
  <c r="W28" i="11" s="1"/>
  <c r="Y28" i="11" s="1"/>
  <c r="AE28" i="11" s="1"/>
  <c r="V20" i="11"/>
  <c r="W20" i="11" s="1"/>
  <c r="Y20" i="11" s="1"/>
  <c r="AE20" i="11" s="1"/>
  <c r="V30" i="11"/>
  <c r="W30" i="11" s="1"/>
  <c r="Y30" i="11" s="1"/>
  <c r="AE30" i="11" s="1"/>
  <c r="V32" i="11"/>
  <c r="W32" i="11" s="1"/>
  <c r="Y32" i="11" s="1"/>
  <c r="AE32" i="11" s="1"/>
  <c r="V34" i="11"/>
  <c r="W34" i="11" s="1"/>
  <c r="Y34" i="11" s="1"/>
  <c r="AA34" i="11" s="1"/>
  <c r="AF34" i="11" s="1"/>
  <c r="V33" i="11"/>
  <c r="W33" i="11" s="1"/>
  <c r="Y33" i="11" s="1"/>
  <c r="AE33" i="11" s="1"/>
  <c r="V23" i="11"/>
  <c r="W23" i="11" s="1"/>
  <c r="Y23" i="11" s="1"/>
  <c r="AE23" i="11" s="1"/>
  <c r="V22" i="11"/>
  <c r="W22" i="11" s="1"/>
  <c r="Y22" i="11" s="1"/>
  <c r="AE22" i="11" s="1"/>
  <c r="V35" i="11"/>
  <c r="W35" i="11" s="1"/>
  <c r="Y35" i="11" s="1"/>
  <c r="V25" i="11"/>
  <c r="W25" i="11" s="1"/>
  <c r="Y25" i="11" s="1"/>
  <c r="AE25" i="11" s="1"/>
  <c r="V24" i="11"/>
  <c r="W24" i="11" s="1"/>
  <c r="Y24" i="11" s="1"/>
  <c r="V37" i="11"/>
  <c r="W37" i="11" s="1"/>
  <c r="Y37" i="11" s="1"/>
  <c r="AE37" i="11" s="1"/>
  <c r="AA26" i="11"/>
  <c r="AF26" i="11" s="1"/>
  <c r="AE26" i="11"/>
  <c r="AA52" i="12"/>
  <c r="AA19" i="12"/>
  <c r="AA27" i="10"/>
  <c r="E46" i="5"/>
  <c r="AE52" i="12"/>
  <c r="AE19" i="10"/>
  <c r="AE32" i="12"/>
  <c r="AE57" i="12"/>
  <c r="AE48" i="12"/>
  <c r="AE42" i="12"/>
  <c r="AE56" i="12"/>
  <c r="T22" i="6"/>
  <c r="Q22" i="6"/>
  <c r="S22" i="6" s="1"/>
  <c r="U22" i="6" s="1"/>
  <c r="T21" i="6"/>
  <c r="Q21" i="6"/>
  <c r="S21" i="6" s="1"/>
  <c r="U21" i="6" s="1"/>
  <c r="T20" i="6"/>
  <c r="Q20" i="6"/>
  <c r="S20" i="6" s="1"/>
  <c r="U20" i="6" s="1"/>
  <c r="T31" i="6"/>
  <c r="Q31" i="6"/>
  <c r="S31" i="6" s="1"/>
  <c r="U31" i="6" s="1"/>
  <c r="T27" i="6"/>
  <c r="Q27" i="6"/>
  <c r="S27" i="6" s="1"/>
  <c r="U27" i="6" s="1"/>
  <c r="T25" i="6"/>
  <c r="Q25" i="6"/>
  <c r="S25" i="6" s="1"/>
  <c r="U25" i="6" s="1"/>
  <c r="Q23" i="6"/>
  <c r="S23" i="6" s="1"/>
  <c r="U23" i="6" s="1"/>
  <c r="E21" i="5" l="1"/>
  <c r="AA28" i="3"/>
  <c r="E59" i="5" s="1"/>
  <c r="AE28" i="3"/>
  <c r="AA27" i="3"/>
  <c r="AE27" i="3"/>
  <c r="AE26" i="10"/>
  <c r="AE25" i="10"/>
  <c r="AA25" i="9"/>
  <c r="AA32" i="9"/>
  <c r="E36" i="5" s="1"/>
  <c r="AA29" i="9"/>
  <c r="AE32" i="9"/>
  <c r="AA36" i="9"/>
  <c r="V23" i="6"/>
  <c r="W23" i="6" s="1"/>
  <c r="V19" i="6"/>
  <c r="W19" i="6" s="1"/>
  <c r="V24" i="6"/>
  <c r="W24" i="6" s="1"/>
  <c r="Y24" i="6" s="1"/>
  <c r="AE24" i="6" s="1"/>
  <c r="V20" i="6"/>
  <c r="W20" i="6" s="1"/>
  <c r="Y20" i="6" s="1"/>
  <c r="AE20" i="6" s="1"/>
  <c r="V25" i="6"/>
  <c r="W25" i="6" s="1"/>
  <c r="Y25" i="6" s="1"/>
  <c r="AE25" i="6" s="1"/>
  <c r="V26" i="6"/>
  <c r="W26" i="6" s="1"/>
  <c r="Y26" i="6" s="1"/>
  <c r="AE26" i="6" s="1"/>
  <c r="V27" i="6"/>
  <c r="W27" i="6" s="1"/>
  <c r="V21" i="6"/>
  <c r="W21" i="6" s="1"/>
  <c r="V28" i="6"/>
  <c r="W28" i="6" s="1"/>
  <c r="Y28" i="6" s="1"/>
  <c r="AA28" i="6" s="1"/>
  <c r="V29" i="6"/>
  <c r="W29" i="6" s="1"/>
  <c r="Y29" i="6" s="1"/>
  <c r="AE29" i="6" s="1"/>
  <c r="V30" i="6"/>
  <c r="W30" i="6" s="1"/>
  <c r="Y30" i="6" s="1"/>
  <c r="AE30" i="6" s="1"/>
  <c r="V31" i="6"/>
  <c r="W31" i="6" s="1"/>
  <c r="V22" i="6"/>
  <c r="W22" i="6" s="1"/>
  <c r="E17" i="5"/>
  <c r="E16" i="5"/>
  <c r="E7" i="5"/>
  <c r="AA19" i="11"/>
  <c r="AF19" i="11" s="1"/>
  <c r="AE35" i="11"/>
  <c r="AA35" i="11"/>
  <c r="AF35" i="11" s="1"/>
  <c r="AE24" i="11"/>
  <c r="AA24" i="11"/>
  <c r="AF24" i="11" s="1"/>
  <c r="AE34" i="11"/>
  <c r="AA28" i="11"/>
  <c r="AF28" i="11" s="1"/>
  <c r="AE27" i="11"/>
  <c r="AA29" i="11"/>
  <c r="E51" i="5"/>
  <c r="AA27" i="9"/>
  <c r="AA23" i="9"/>
  <c r="E8" i="5"/>
  <c r="AE19" i="11"/>
  <c r="AE19" i="9"/>
  <c r="E47" i="5"/>
  <c r="E18" i="5"/>
  <c r="AE22" i="9"/>
  <c r="AE27" i="9"/>
  <c r="AE25" i="9"/>
  <c r="AE23" i="9"/>
  <c r="AE21" i="9"/>
  <c r="AE29" i="9"/>
  <c r="E20" i="5"/>
  <c r="E49" i="5"/>
  <c r="Y20" i="9"/>
  <c r="AA19" i="9" s="1"/>
  <c r="E15" i="5"/>
  <c r="AF29" i="11" l="1"/>
  <c r="E10" i="5" s="1"/>
  <c r="E6" i="5"/>
  <c r="AF60" i="12"/>
  <c r="E22" i="5" s="1"/>
  <c r="E58" i="5"/>
  <c r="AF30" i="10"/>
  <c r="AF32" i="10"/>
  <c r="E52" i="5"/>
  <c r="E9" i="5"/>
  <c r="E12" i="5"/>
  <c r="E11" i="5"/>
  <c r="AE28" i="6"/>
  <c r="AF28" i="6" s="1"/>
  <c r="E30" i="5"/>
  <c r="AE20" i="9"/>
  <c r="E31" i="5"/>
  <c r="E14" i="5"/>
  <c r="E50" i="5"/>
  <c r="E19" i="5"/>
  <c r="Y31" i="6"/>
  <c r="AA29" i="6" s="1"/>
  <c r="E37" i="5"/>
  <c r="Y21" i="6"/>
  <c r="AE21" i="6" s="1"/>
  <c r="Y22" i="6"/>
  <c r="AE22" i="6" s="1"/>
  <c r="E35" i="5"/>
  <c r="Y23" i="6"/>
  <c r="AA23" i="6" s="1"/>
  <c r="Y27" i="6"/>
  <c r="AA26" i="6" s="1"/>
  <c r="Y19" i="6"/>
  <c r="T32" i="3"/>
  <c r="T31" i="3"/>
  <c r="T30" i="3"/>
  <c r="T26" i="3"/>
  <c r="AF38" i="11" l="1"/>
  <c r="AF40" i="11" s="1"/>
  <c r="E13" i="5" s="1"/>
  <c r="AF39" i="9"/>
  <c r="AA19" i="6"/>
  <c r="E53" i="5"/>
  <c r="AE31" i="6"/>
  <c r="AF29" i="6" s="1"/>
  <c r="AE27" i="6"/>
  <c r="AF26" i="6" s="1"/>
  <c r="AE23" i="6"/>
  <c r="AF23" i="6" s="1"/>
  <c r="AE19" i="6"/>
  <c r="E29" i="5"/>
  <c r="E26" i="5"/>
  <c r="E5" i="5"/>
  <c r="E32" i="5"/>
  <c r="E34" i="5"/>
  <c r="E24" i="5"/>
  <c r="E33" i="5"/>
  <c r="T25" i="3"/>
  <c r="T24" i="3"/>
  <c r="AF19" i="6" l="1"/>
  <c r="AF32" i="6" s="1"/>
  <c r="E38" i="5"/>
  <c r="E23" i="5"/>
  <c r="E25" i="5"/>
  <c r="E27" i="5"/>
  <c r="T23" i="3"/>
  <c r="T21" i="3"/>
  <c r="AF34" i="6" l="1"/>
  <c r="E28" i="5" s="1"/>
  <c r="T20" i="3"/>
  <c r="T19" i="3" l="1"/>
  <c r="Y23" i="3" l="1"/>
  <c r="Y19" i="3"/>
  <c r="AA19" i="3" s="1"/>
  <c r="AE23" i="3" l="1"/>
  <c r="AE19" i="3"/>
  <c r="Y24" i="3"/>
  <c r="AE24" i="3" s="1"/>
  <c r="Y21" i="3"/>
  <c r="AE21" i="3" s="1"/>
  <c r="Y25" i="3"/>
  <c r="AE25" i="3" s="1"/>
  <c r="Y32" i="3"/>
  <c r="AE32" i="3" s="1"/>
  <c r="Y31" i="3"/>
  <c r="AE31" i="3" s="1"/>
  <c r="Y30" i="3"/>
  <c r="Y20" i="3"/>
  <c r="Y26" i="3"/>
  <c r="AA26" i="3" s="1"/>
  <c r="AA20" i="3" l="1"/>
  <c r="AA23" i="3"/>
  <c r="AA30" i="3"/>
  <c r="AE20" i="3"/>
  <c r="AE26" i="3"/>
  <c r="AE30" i="3"/>
  <c r="E60" i="5" l="1"/>
  <c r="E55" i="5"/>
  <c r="E57" i="5"/>
  <c r="E56" i="5"/>
  <c r="E54" i="5"/>
  <c r="AF33" i="3" l="1"/>
  <c r="AF35" i="3" s="1"/>
  <c r="E61" i="5" s="1"/>
  <c r="E62" i="5" s="1"/>
</calcChain>
</file>

<file path=xl/sharedStrings.xml><?xml version="1.0" encoding="utf-8"?>
<sst xmlns="http://schemas.openxmlformats.org/spreadsheetml/2006/main" count="1563" uniqueCount="547">
  <si>
    <t>Instrucciones de uso</t>
  </si>
  <si>
    <t>Introducción</t>
  </si>
  <si>
    <t>La matriz de riesgos diseñada se ha estructurado de la siguiente forma:</t>
  </si>
  <si>
    <t>Definiciones</t>
  </si>
  <si>
    <t>En la matriz nos encontramos con los siguientes conceptos:</t>
  </si>
  <si>
    <t>Riesgo</t>
  </si>
  <si>
    <t>Contratiempo/evento adverso, junto con sus consecuencias negativas asociadas.</t>
  </si>
  <si>
    <t>"Bandera roja"</t>
  </si>
  <si>
    <t>Señal de alarma. Indicador de la posibilidad que pueda existir un riesgo de fraude. Se establecen 3 tipos de banderas rojas:</t>
  </si>
  <si>
    <t>"Bandera roja ordinaria"</t>
  </si>
  <si>
    <t>Bandera cuya materialización no tiene un efecto contaminante ni sobre el riesgo asociado ni sobre todo el método de gestión evaluado. Su materialización incrementa el nivel de riesgo de forma regular.</t>
  </si>
  <si>
    <t>"Bandera roja dominante"</t>
  </si>
  <si>
    <t>Bandera cuya materialización tiene un impacto negativo o contaminante sobre el riesgo al que está asociada. Su materialización incrementa el nivel de riesgo en mayor medida que la materialización de una bandera ordinaria.</t>
  </si>
  <si>
    <t>"Bandera roja excluyente"</t>
  </si>
  <si>
    <t>Puntuación total bruta</t>
  </si>
  <si>
    <t>Es la puntuación asignada a un riesgo, teniendo en cuenta los siguientes criterios:</t>
  </si>
  <si>
    <t>Porcentaje 5-90%. Probabilidad de suceso de la bandera roja (en la fase concreta).</t>
  </si>
  <si>
    <t>Controles</t>
  </si>
  <si>
    <t>Controles diseñados e implantados para mitigar la bandera asociada.</t>
  </si>
  <si>
    <t>Probabilidad del suceso mitigado</t>
  </si>
  <si>
    <t>En caso de que los controles para mitigar la bandera roja hayan sido implementados, la probabilidad del suceso se reduciría a la mitad.</t>
  </si>
  <si>
    <t>Puntuación total final del riesgo</t>
  </si>
  <si>
    <t>de cada una de las banderas que lo componen.</t>
  </si>
  <si>
    <t>Coeficiente de riesgo del método de gestión</t>
  </si>
  <si>
    <t>Instrucciones para cumplimentar la matriz</t>
  </si>
  <si>
    <t>Resultados</t>
  </si>
  <si>
    <t>La matriz permite obtener dos tipos de resultados por método de gestión:</t>
  </si>
  <si>
    <t>Puntuación total final de cada uno de los riesgos</t>
  </si>
  <si>
    <t>Puntuación</t>
  </si>
  <si>
    <t>Interpretación</t>
  </si>
  <si>
    <t>Riesgo crítico</t>
  </si>
  <si>
    <t>La probabilidad de que el riesgo tenga lugar (se materialice) es crítica</t>
  </si>
  <si>
    <t>Riesgo alto</t>
  </si>
  <si>
    <t>La probabilidad de que el riesgo tenga lugar (se materialice) es alta</t>
  </si>
  <si>
    <t>Riesgo medio</t>
  </si>
  <si>
    <t>La probabilidad de que el riesgo tenga lugar (se materialice) es media</t>
  </si>
  <si>
    <t>Riesgo bajo</t>
  </si>
  <si>
    <t>La probabilidad de que el riesgo tenga lugar (se materialice) es baja</t>
  </si>
  <si>
    <t>Coeficiente</t>
  </si>
  <si>
    <t>El coeficiente muestra un riesgo crítico para el método de gestión</t>
  </si>
  <si>
    <t>El coeficiente muestra un elevado riesgo para el método de gestión</t>
  </si>
  <si>
    <t>El coeficiente muestra un  riesgo medio para el método de gestión</t>
  </si>
  <si>
    <t>El coeficiente muestra un riesgo bajo para el método de gestión</t>
  </si>
  <si>
    <t>P0</t>
  </si>
  <si>
    <t>Sí</t>
  </si>
  <si>
    <t>Importante: Antes de continuar recuerde que tiene que contestar a la pregunta anterior "P0"</t>
  </si>
  <si>
    <t>P1</t>
  </si>
  <si>
    <t>A continuación, conteste las siguientes preguntas para cada una de las banderas rojas. Se deberán contestar todas las preguntas:</t>
  </si>
  <si>
    <t>P2</t>
  </si>
  <si>
    <t>En relación con la bandera roja; ¿en el manual de procedimientos del organismo/entidad, se especifica  o se desarrolla un procedimiento con relación a esta bandera?</t>
  </si>
  <si>
    <t>P3</t>
  </si>
  <si>
    <t>P4</t>
  </si>
  <si>
    <t>P5</t>
  </si>
  <si>
    <t>¿El Organismo o entidad dispone de un departamento de control interno/auditoría interna, que de entre sus funciones esté la de revisión de esta bandera roja?</t>
  </si>
  <si>
    <t>TOTAL</t>
  </si>
  <si>
    <t>TOTAL MÁXIMO</t>
  </si>
  <si>
    <t>ASSESMENT</t>
  </si>
  <si>
    <t>RIESGO</t>
  </si>
  <si>
    <t>PROBABILIDAD DEL SUCESO</t>
  </si>
  <si>
    <t>Puntuación Total Bruta</t>
  </si>
  <si>
    <t>Probabilidad de Suceso Mitigada</t>
  </si>
  <si>
    <t>Puntuación Total Final del Riesgo</t>
  </si>
  <si>
    <t>Observaciones</t>
  </si>
  <si>
    <t>1.1</t>
  </si>
  <si>
    <t>No</t>
  </si>
  <si>
    <t>2.1</t>
  </si>
  <si>
    <t>2.2</t>
  </si>
  <si>
    <t>2.3</t>
  </si>
  <si>
    <t>3.1</t>
  </si>
  <si>
    <t>3.2</t>
  </si>
  <si>
    <t>3.3</t>
  </si>
  <si>
    <t>4.1</t>
  </si>
  <si>
    <t>Pérdida de Pista de Auditoría.</t>
  </si>
  <si>
    <t>5.1</t>
  </si>
  <si>
    <t>5.2</t>
  </si>
  <si>
    <t>5.3</t>
  </si>
  <si>
    <t>5.4</t>
  </si>
  <si>
    <t>6.1</t>
  </si>
  <si>
    <t>7.1</t>
  </si>
  <si>
    <t>7.2</t>
  </si>
  <si>
    <t>-</t>
  </si>
  <si>
    <t>P2 y P5</t>
  </si>
  <si>
    <t>Asignación incorrecta deliberada de los costes de mano de obra</t>
  </si>
  <si>
    <t>1.2</t>
  </si>
  <si>
    <t>1.3</t>
  </si>
  <si>
    <t>1.4</t>
  </si>
  <si>
    <t>Ejecución irregular de la actividad.</t>
  </si>
  <si>
    <t>4.2</t>
  </si>
  <si>
    <t>4.3</t>
  </si>
  <si>
    <t>Inexistencia de necesidad justificada para el encargo</t>
  </si>
  <si>
    <t>Incumplimiento por el órgano que encarga de los requisitos subjetivos para serlo</t>
  </si>
  <si>
    <t>Incumplimiento por el órgano que encargado de los requisitos para ser considerado ente instrumental</t>
  </si>
  <si>
    <t>● Establecer procedimientos de comprobación de los requisitos para ser encargado de acuerdo con lo establecido en el art. 32 de la Ley 9/2017. Se recomienda la utilización de una lista de comprobación (checklist).</t>
  </si>
  <si>
    <t>Falta de justificación en la selección del Medio Propio</t>
  </si>
  <si>
    <t>Incumplimiento de los límites de subcontratación y limitación de la concurrencia en el caso de ejecucición por terceros</t>
  </si>
  <si>
    <t>Incumplimiento de las obligaciones de información, comunicación y publicidad</t>
  </si>
  <si>
    <t>6.2</t>
  </si>
  <si>
    <t>Incumplimiento total o parcial de las prestaciones objeto del encargo</t>
  </si>
  <si>
    <t>7.3</t>
  </si>
  <si>
    <t>Aplicación incorrecta de las tarifas y costes</t>
  </si>
  <si>
    <t>8.1</t>
  </si>
  <si>
    <t>8.2</t>
  </si>
  <si>
    <t>8.3</t>
  </si>
  <si>
    <t>8.4</t>
  </si>
  <si>
    <t>Pérdida pista de auditoría</t>
  </si>
  <si>
    <t xml:space="preserve">PLANTILLA DE RESULTADOS </t>
  </si>
  <si>
    <t>Método de gestión</t>
  </si>
  <si>
    <t>Riesgo 1. "Limitación de la concurrencia"</t>
  </si>
  <si>
    <t>Riesgo 2. "Trato discriminatorio en la selección de los solicitantes"</t>
  </si>
  <si>
    <t>Riesgo 3. "Conflictos de interés en el comité de evaluación"</t>
  </si>
  <si>
    <t>Riesgo 4. "Incumplimiento del régimen de Ayudas de Estado"</t>
  </si>
  <si>
    <t>Riesgo 5. "Desviación del objeto de subvención"</t>
  </si>
  <si>
    <t>Riesgo 9. "Pérdida de pista de auditoría"</t>
  </si>
  <si>
    <t>Riesgo 1. "Manipulación del procedimiento a efectos de limitar la concurrencia"</t>
  </si>
  <si>
    <t>Riesgo 2. "Prácticas colusorias en las ofertas"</t>
  </si>
  <si>
    <t>Riesgo 3. "Conflicto de interés"</t>
  </si>
  <si>
    <t>Riesgo 4. "Manipulación en la valoración técnica y/o económica de las ofertas presentadas"</t>
  </si>
  <si>
    <t>Riesgo 5. "Irregularidades en la formalización del contrato"</t>
  </si>
  <si>
    <t>Riesgo 6. "Incumplimiento de las obligaciones o irregularidades en la prestación que beneficien al adjudicatario"</t>
  </si>
  <si>
    <t>Riesgo 1. "Asignación incorrecta deliberada de los costes de mano de obra"</t>
  </si>
  <si>
    <t>Riesgo 5. "Pérdida de pista de auditoría"</t>
  </si>
  <si>
    <t>Riesgo 1. "Inexistencia de necesidad justificada para el encargo"</t>
  </si>
  <si>
    <t>Riesgo 2. "Incumplimiento por el órgano que encarga de los requisitos subjetivos para serlo"</t>
  </si>
  <si>
    <t>Riesgo 3. "Incumplimiento por el órgano encargado de los requisitos para ser considerado ente instrumental"</t>
  </si>
  <si>
    <t>Riesgo 4. "Falta de justificación en la selección del Medio Propio"</t>
  </si>
  <si>
    <t>Riesgo 5. "Incumplimiento de los límites de subcontratación y limitación de la concurrencia en el caso de ejecución por terceros"</t>
  </si>
  <si>
    <t>Riesgo 6. "Incumplimiento de las obligaciones de información, comunicación y publicidad"</t>
  </si>
  <si>
    <t>Riesgo 7. "Incumplimiento total o parcial de las prestaciones objeto del encargo"</t>
  </si>
  <si>
    <t>Riesgo 8. "Aplicación correcta de las tarifas y costes"</t>
  </si>
  <si>
    <t>si</t>
  </si>
  <si>
    <t>no</t>
  </si>
  <si>
    <t>Debe realizarse una revisión de la solicitud de reembolso/presentación de operaciones y proyectos/declaración de operaciones y proyectos para retirar las operaciones/proyectos/gastos vinculados con la materialización de esta bandera.</t>
  </si>
  <si>
    <t>Posible riesgo de FRAUDE.Deben revisarse las operaciones/proyectos vinculados con la materialización de esta bandera.El alcance de la revisión tiene que ser más amplio que el realizado inicialmente y permitir concluir sobre la existencia o no de fraude.</t>
  </si>
  <si>
    <t>Riesgo 1. "Elusión del procedimiento de contratación mediante la celebración de convenios"</t>
  </si>
  <si>
    <t>Riesgo 2. "Conflictos de interés"</t>
  </si>
  <si>
    <t>Riesgo 3. "Formalización incorrecta del convenio"</t>
  </si>
  <si>
    <t>Riesgo 4. "Limitación de la concurrencia en el caso de ejecución del convenio por terceros"</t>
  </si>
  <si>
    <t>Elusión del procedimiento de contratación mediante la celebración de convenios</t>
  </si>
  <si>
    <t>Conflicto de interés</t>
  </si>
  <si>
    <t>Formalización incorrecta del convenio</t>
  </si>
  <si>
    <t>Limitación de la concurrencia en el caso de ejecución del convenio por terceros</t>
  </si>
  <si>
    <t>● Establecer un procedimiento de comprobación que deba archivarse en el expediente, y ser verificado por un supervisor externo, en el que se deje constancia del cumplimiento del deber de garantizar la concurrencia para la contratación de proveedores en el marco de convenios de colaboración. Se recomienda la utilización de una lista de comprobación (checklist).</t>
  </si>
  <si>
    <t>1.5</t>
  </si>
  <si>
    <t>Limitación de la concurrencia</t>
  </si>
  <si>
    <t>Trato discriminatorio en la selección de los solicitantes</t>
  </si>
  <si>
    <t>Conflictos de interés en el Comité de evaluación</t>
  </si>
  <si>
    <t>Incumplimiento del régimen de ayudas de Estado</t>
  </si>
  <si>
    <t>Desviación del objeto de la subvención</t>
  </si>
  <si>
    <t>● Verificar que los fondos están siendo destinados a su finalidad. 
● Solicitar y archivar en el expediente el soporte de la ejecución de las actividades objeto de la ayuda (procedimientos alternativos) que justifiquen la ejecución: fotos, carteles, informes, mails, trípticos, materiales, grabaciones, documentación).</t>
  </si>
  <si>
    <t>6.3</t>
  </si>
  <si>
    <t>6.4</t>
  </si>
  <si>
    <t>6.5</t>
  </si>
  <si>
    <t>Doble financiación</t>
  </si>
  <si>
    <t>● Establecer medidas que impidan que se produzca un exceso de financiación de las actividades. Por ejemplo, en el caso de percibir financiación a través de convenios, se recomienda establecer la cofinanciación en base a porcentajes complementarios o por importes que garanticen que la suma total de todos los ingresos no supera el importe total de los gastos ejecutados.
● Establecer una contabilidad analítica de los ingresos y gastos de las operaciones.
● Solicitar a los terceros cofinanciadores certificados o declaraciones que detallen la finalidad de la financiación otorgada.</t>
  </si>
  <si>
    <t>9.1</t>
  </si>
  <si>
    <t>9.2</t>
  </si>
  <si>
    <t>Riesgo 2. "Ejecución irregular de la actividad"</t>
  </si>
  <si>
    <t>Manipulación del procedimiento a efectos de limitar la concurrencia</t>
  </si>
  <si>
    <t xml:space="preserve">● Realización de controles periódicos del importe acumulado por proveedor y correlativo análisis de los objetos de los distintos contratos celebrados con un mismo proveedor.
● Aplicar controles sobre la presencia continuada en las ofertas de circunstancias improbables (como por ejemplo, evaluadores de las ofertas que parecen conocer perfectamente el mercado) o de relaciones inusuales entre terceros (como por ejemplo, identificación de patrones de turnos entre adjudicatarios). </t>
  </si>
  <si>
    <t>1.6</t>
  </si>
  <si>
    <t>1.7</t>
  </si>
  <si>
    <t>1.8</t>
  </si>
  <si>
    <t>Prácticas colusorias en las ofertas</t>
  </si>
  <si>
    <t>2.4</t>
  </si>
  <si>
    <t>3.4</t>
  </si>
  <si>
    <t>3.5</t>
  </si>
  <si>
    <t>3.6</t>
  </si>
  <si>
    <t>3.7</t>
  </si>
  <si>
    <t>3.8</t>
  </si>
  <si>
    <t>3.9</t>
  </si>
  <si>
    <t>3.10</t>
  </si>
  <si>
    <t>Conflictos de interés</t>
  </si>
  <si>
    <t>4.4</t>
  </si>
  <si>
    <t>4.5</t>
  </si>
  <si>
    <t>4.6</t>
  </si>
  <si>
    <t>Manipulación en la valoración técnica y/o económica de las ofertas presentadas</t>
  </si>
  <si>
    <t>Irregularidades en la formalización del contrato</t>
  </si>
  <si>
    <t>● Establecer un control por parte del servicio jurídico del contrato con carácter previo a la firma del mismo, que permita verificar que no se ha producido una alteración en los términos de la adjudicación, dejando constancia de este control por escrito.</t>
  </si>
  <si>
    <t>● Establecer un control por parte del servicio jurídico del contrato con carácter previo a la firma del mismo, que permita verificar la coincidencia entre el adjudicatario y el firmante del contrato, dejando constancia de este control por escrito.</t>
  </si>
  <si>
    <t>● Establecer un control por parte del servicio jurídico del contrato con carácter previo a la firma del mismo mediante la elaboración de un informe periódico (mensual) sobre el estado en que se encuentra el procedimiento de contratación para dejar constancia de las incidencias ocurridas en el mismo (retrasos, situaciones inusuales...), dejando constancia de este control por escrito.</t>
  </si>
  <si>
    <t>Incumplimiento de las obligaciones o irregularidades en la prestación que beneficien al adjudicatario</t>
  </si>
  <si>
    <t>● Realización de controles periódicos/análisis de informes de ejecución/realización de verificaciones sobre el terreno en su caso.
● Establecer controles periódicos de la calidad de la prestación y cláusulas de penalización en los contratos para aquellas situaciones en las que se detecte que la calidad de la prestación no se ajusta con la oferta presentada.
● Revisión de los informes finales, económicos y de actividades, en busca de posibles discrepancias entre las actividades previstas y las realmente efectuadas.</t>
  </si>
  <si>
    <t>Incumplimiento de los deberes de información y comunicación de apoyo del FSE+</t>
  </si>
  <si>
    <t>Riesgo 4. "Limitación de la concurrencia en el caso de ejecución por terceros"</t>
  </si>
  <si>
    <t>Riesgo 3. "Incumplimiento por el órgano encomendado de los requisitos para ser considerado ente instrumental "</t>
  </si>
  <si>
    <t>Riesgo 2. "Incumplimiento por el órgano encomendante de los requisitos subjetivos para serlo"</t>
  </si>
  <si>
    <t>Riesgo 1. "Inexistencia de necesidad justificada para la encomienda de gestión"</t>
  </si>
  <si>
    <t xml:space="preserve">                                                </t>
  </si>
  <si>
    <t>Posibilidad o frecuencia, según la experiencia previa, de que ocurra el suceso del riesgo (en la fase concreta).</t>
  </si>
  <si>
    <t>Muy Bajo</t>
  </si>
  <si>
    <t>Bajo</t>
  </si>
  <si>
    <t>Medio</t>
  </si>
  <si>
    <t>Alto</t>
  </si>
  <si>
    <t>Muy Alto</t>
  </si>
  <si>
    <t>Su valor se calcula automáticamente y varía en función del porcentaje de assesment alcanzado. Cuanto mayor sea el porcentaje del assesment menor será la exposición al riesgo y, cuanto mayor sea el riesgo mayor será la posibilidad del suceso:</t>
  </si>
  <si>
    <t>● Establecer un procedimiento de comprobación que deba archivarse en el expediente, y ser verificado por un supervisor externo, en el que se deje constancia del cumplimiento de todos los requisitos formales para la celebración de convenios de colaboración por parte de las Administraciones Públicas. Se recomienda la utilización de una lista de comprobación (checklist).</t>
  </si>
  <si>
    <t xml:space="preserve">● Establecer procedimientos de comprobación de cumplimiento de los requisitos de información y publicidad. Se recomienda la utilización de una lista de comprobación (checklist).
● Establecer medidas de información al personal involucrado en la gestión de actividades cofinanciadas sobre las obligaciones de obligado cumplimiento en materia de información y publicidad. Se recomienda la elaboración y distribución entre todo el personal involucrado de un breve manual sobre la materia. </t>
  </si>
  <si>
    <t>SUBVENCIONES</t>
  </si>
  <si>
    <t>CONTRATACIÓN</t>
  </si>
  <si>
    <t>GESTIÓN DIRECTA: MEDIOS PROPIOS.</t>
  </si>
  <si>
    <t>GESTIÓN DIRECTA: ENCARGO A MEDIOS PROPIOS</t>
  </si>
  <si>
    <t>GESTIÓN DIRECTA</t>
  </si>
  <si>
    <t>MEDIOS PROPIOS</t>
  </si>
  <si>
    <t>ENCARGO A MEDIOS PROPIOS</t>
  </si>
  <si>
    <t>ENCOMIENDA DE GESTIÓN</t>
  </si>
  <si>
    <t>CONVENIOS</t>
  </si>
  <si>
    <t>CONCIERTOS</t>
  </si>
  <si>
    <t>● Establecer un procedimiento de comprobación que deba archivarse en el expediente en el que se deje constancia del cumplimiento de todos los requisitos relativos a la encomienda, suficiente para justificar la contratación recurrente de los mismos proveedores. Se recomienda la utilización de una lista de comprobación (checklist).
● Disponer de una política en materia de conflicto de interés que incluya un código ético, un procedimiento para abordar conflictos de intereses, una Declaración de Ausencia de Conflicto de Interés (DACI) por parte de todos los intervinientes en la encomienda y la verificación de su contenido, cuando proceda, así como medidas dirigidas a garantizar su cumplimiento.</t>
  </si>
  <si>
    <t>COEFICIENTE FINAL RIESGO EX ANTE</t>
  </si>
  <si>
    <t>● Instaurar sistemas de control de cumplimiento de concurrencia competitiva en la negociación con proveedores por parte de los beneficiarios. Es recomendable asimismo que el organismo seleccione una persona (preferiblemente, externa al proceso de gestión y selección de solicitudes) responsable de verificar el cumplimiento de dichos requisitos.</t>
  </si>
  <si>
    <t>● Establecer procedimientos de verificación que permitan determinar la consideración de una ayuda como ayuda de estado, y, en su caso, asegurar y documentar tanto el cumplimiento de los requisitos como la existencia en el expediente de las notificaciones y autorizaciones de esta.</t>
  </si>
  <si>
    <t>● Realización de cuadros de financiación a nivel de operación que permitan llevar un control de la financiación de las operaciones analizando gastos e ingresos de las mismas.
● Establecer una contabilidad analítica de los ingresos y gastos de las operaciones. Dicha contabilidad debe estar correctamente documentada.</t>
  </si>
  <si>
    <t>● En el caso de conciertos sometidos a licitación mediante convocatoria, declaración de ausencia de conflicto de intereses (DACI) de los miembros que componen el Comité Técnico de Valoración.
● En el caso de adjudicaciones directas, comprobar si está adecuadamente justificada la recurrencia con el objetivo de garantizar la continuidad de los servicios.
● Análisis histórico de conciertos recurrentes así como de la justificación de estos.</t>
  </si>
  <si>
    <t>● En el caso de licitaciones, comprobar si en la redacción de la convocatoria del concierto se delimitan con la máxima precisión posible qué gastos son subvencionables y la forma en que estos, atendiendo a su naturaleza, deban justificarse.
● En el caso de convenios adjudicados de forma directa, comprobar si en la redacción de la memoria y del concierto firmado con posterioridad se delimitan con la máxima precisión posible qué gastos son subvencionables y la forma en que estos, atendiendo a su naturaleza, deban justificarse.
● Revisar si, en su defecto o adicionalmente, el organismo elabora un manual de justificación en el que se detallen, entre otros, los procedimientos a seguir para la correcta documentación de los gastos.
● Establecer sistemas de comprobación y control de la pista de auditoría. Se recomienda la utilización de una lista de comprobación (checklist) de verificación de la documentación requerida para garantizar la pista de auditoría.</t>
  </si>
  <si>
    <t>Riesgo 1. "El objeto del conciero no corresponde a esa figura jurídica".</t>
  </si>
  <si>
    <t>Riesgo 2. "Incumplimiento del procedimiento o de los requisitos legales del concierto".</t>
  </si>
  <si>
    <t>Riesgo 3. "Limitación a la concurrencia en la selección de entidades colaboradoreas".</t>
  </si>
  <si>
    <t>Riesgo 4. "Incumplimieno de los deberes de información y comunicación de apoyo del FSE+".</t>
  </si>
  <si>
    <t>Riesgo 5. "Formalización incorrecta del concierto".</t>
  </si>
  <si>
    <t>Riesgo 6. "Conflictos de interés".</t>
  </si>
  <si>
    <t>Riesgo 7. "Pérdida de Pista de Auditoría".</t>
  </si>
  <si>
    <t>Riesgo 6. "Pérdida de Pista de Auditoría".</t>
  </si>
  <si>
    <t>Pérdida de pista de auditoría</t>
  </si>
  <si>
    <t>9.3</t>
  </si>
  <si>
    <t>Riesgo 5. "Incumplimiento de las obligaciones de información, comunicación y publicidad"</t>
  </si>
  <si>
    <t>● Fundamentar detalladamente en la memoria respectiva los motivos y causas por las que se considera la encomienda de gestión el instrumento jurídico más adecuado.
● Verificar que el certificado o carta de insuficiencia de medios está bien fundamentado, aportando evidencia objetiva de la imposibilidad de ejecución con los medios de que dispone la entidad que encomienda la gestión.
● Comprobar que se determina de forma clara en el expediente las necesidades a cubrir, el objeto de la encomienda y las prestaciones a ejecutar, en la medida que la falta de esa concreción impide o dificulta seriamente la correcta definición de los componentes de las prestaciones y supone una seria limitación a la hora de fijar adecuadamente la retribución de la encomienda, lo que conlleva diferentes riesgos.</t>
  </si>
  <si>
    <t xml:space="preserve">● Establecer un procedimiento de comprobación que deba archivarse en el expediente relativo a la encomienda en el que se deje constancia del cumplimiento de todos los requisitos establecidos en la normativa de contratación pública así como en la Ley 9/2017 de Contratos del Sector Público, sobre el tipo de procedimiento a llevar a cabo según el importe de los contratos. Se recomienda la utilización de una lista de comprobación (checklist). </t>
  </si>
  <si>
    <t>2.5</t>
  </si>
  <si>
    <t>Riesgo 8. "Pérdida de pista de auditoría"</t>
  </si>
  <si>
    <t>Riesgo 7. "Incumplimiento de los deberes de información y comunicación de apoyo del FSE+"</t>
  </si>
  <si>
    <t>Incumplimiento de las obligaciones establecidas por la normativa nacional y europea en materia de información y publicidad</t>
  </si>
  <si>
    <t>●	Establecer un sistema de control y verificación de la documentación presentada por parte de los licitadores a fin de detectar documentación o información falsificada. Se recomienda la utilización de un checklist de verificación de la documentación requerida para poder acceder al proceso de contratación.</t>
  </si>
  <si>
    <t>Riesgo 7. "Incumplimiento de las obligaciones establecidas por la normativa nacional y europea en materia de información y publicidad"</t>
  </si>
  <si>
    <t>Riesgo 6. "Doble financiación"</t>
  </si>
  <si>
    <t>Riesgo 4. "Incumplimiento de los deberes de información y comunicación de apoyo del FSE+."</t>
  </si>
  <si>
    <t>Riesgo 6. "Incumplimiento total o parcial de las prestaciones objeto de la encomienda"</t>
  </si>
  <si>
    <t>Riesgo 5. "Incumplimiento de los deberes de información y comunicación de apoyo del FSE+."</t>
  </si>
  <si>
    <t>● Revisión de la memoria justificativa del convenio, donde debe analizarse su necesidad y oportunidad, el carácter no contractual de la actividad y cumplimiento de lo previsto en la ley y del informe del servicio jurídico con análisis del objeto de la actividad a desarrollar y la justificación de acudir a la vía del convenio y no a otras vías de contratación.</t>
  </si>
  <si>
    <t>● Informe del Servicio Jurídico con análisis del objeto de la actividad a desarrollar y la justificación de acudir a la vía del convenio y no a otras vías de contratación, así como de la adecuación del contenido del convenio y actuaciones a realizar.
● Revisión de la memoria justificativa del convenio, donde debe analizarse su necesidad y oportunidad, su impacto económico, el carácter no contractual de la actividad y cumplimiento de lo previsto en la Ley.
● Análisis histórico de convenios recurrentes así como de la justificación de estos.</t>
  </si>
  <si>
    <t>● Disponer de una política en materia de conflicto de interés que incluya un código ético, un procedimiento para abordar conflictos de intereses, una Declaración de Ausencia de Conflicto de Interés (DACI) por parte de todos los intervinientes en el encargo convenio y la verificación de su contenido, cuando proceda, así como medidas dirigidas a garantizar su cumplimiento.
● Elaborar un informe justificativo de las razonas por las que se acude de manera reiterada a la celebración de convenios con las mismas entidades.</t>
  </si>
  <si>
    <t>● Revisión de la memoria justificativa del convenio, donde debe analizarse la competencia, la necesidad y oportunidad, el carácter no contractual de la actividad y cumplimiento de lo previsto en la ley.</t>
  </si>
  <si>
    <t xml:space="preserve">● Establecer procedimientos de comprobación de cumplimiento de las obligaciones derivadas de la normativa europea en materia de publicidad e información. Se recomienda la utilización de una lista de comprobación (checklist). 
Asimismo, se recomienda la elaboración de un manual en el que se especifiquen las medidas de información y publicidad que deben llevarse a cabo en todo caso, que se distribuya entre todo el personal implicado en la gestión.
● Establecer medidas de información al personal involucrado en la gestión de actividades cofinanciadas sobre las obligaciones en materia de información y publicidad. Se recomienda la elaboración y distribución entre todo el personal involucrado de un breve manual sobre la materia. </t>
  </si>
  <si>
    <t>● Comprobar si en la documentación previa de la operación (DECA, convenio firmado, …), se delimitan con la máxima precisión posible la forma en que los gastos, atendiendo a su naturaleza, deban justificarse.
● Revisar si, en su defecto o adicionalmente, el organismo elabora un manual de justificación en el que se detallen, entre otros, los procedimientos a seguir para la correcta documentación de los gastos.
● Establecer sistemas de comprobación y control de la pista de auditoría. Se recomienda la utilización de una lista de comprobación (checklist) de verificación de la documentación requerida para garantizar la pista de auditoría.
● Verificar el establecimiento de un mecanismo que permita cumplir con la obligación de conservar los documentos en los plazos y formatos señalados en el artículo 132 del Reglamento Financiero (5 años a partir de la operación, 3 años si la financiación no supera los 60.000 euros).</t>
  </si>
  <si>
    <t>● Verificar que en el DECA y demás documentación preparatoria de la operación se determine qué método o métodos, según la normativa europea (artículos 53 y siguientes del RDC y las disposiciones específicas sobre el programa o ayuda recibida), deben aplicarse para el cálculo de los gastos (coste real o fórmulas de costes simplificados...  ).</t>
  </si>
  <si>
    <t>● Verificar que el organismo revise las justificaciones de los gastos (o forma de justificación establecida en la documentación previa de la operación) detectando y detrayendo los gastos que no responden a la actividad en cuestión, que no suponen un coste elegible para la operación, que se hayan justificado mediante documentos que no reflejaran la realidad de las operaciones, etc. Esta tarea es de gran importancia ya que los gastos no elegibles en los que incurran los beneficiarios no podrán ser certificados y reintegrados.
● Solicitar y archivar en el expediente la evidencia documental de la revisión de la justificación de los gastos hecha por el organismo.
● Control de la documentación presentada por parte de las entidades a fin de detectar documentación o información falsificada/manipulada, verificando la documentación directamente con la fuente, cuando proceda.
● Control de las facturas emitidas a fin de detectar duplicidades (es decir, facturas repetidas con idéntico importe o número de factura, etc.) o falsificaciones.</t>
  </si>
  <si>
    <t>● Incluir, en el Informe de Necesidad, una correcta justificación del motivo por el que se acude a la vía del concierto y no a otras vías de contratación, así como en la propia resolución motivada del órgano competente para la concesión del concierto social.
● Revisar de la necesidad administrativa a satisfacer y modalidad de concertación: licitación o adjudicación directa.
● Revisar el objeto del concierto: descripción de las características y condiciones técnicas y materiales de la actividad a concertar, y delimitación de las prestaciones que constituyen el objeto del concierto. Comprobar si se regula la prestación de un servicio social y/o sanitario.</t>
  </si>
  <si>
    <t>● Comprobar que se ha formalizado correctamente el correspondiente anuncio de información previa (Anexo III. B., Sección 3, Ley 9/2017) y se ha publicado en el perfil del contratante y en el «Diario Oficial de la Unión Europea» (Disposición adicional decimonovena de la Ley 9/2017).
● Revisar la publicación de la resolución en el Boletín Correspondiente, web o ● Comprobar la inscripción de la entidad en el Registro de Entidades, Servicios y Centros de la respectiva Comunidad Autónoma.
● Se recomienda buscar la regulación concreta a nivel autonómico para esta modalidad de gestión y elaborar una lista de comprobación donde se revise el cumplimiento de todos los trámites legales relativos a publicidad y comunicación de los conciertos.</t>
  </si>
  <si>
    <t>● Revisión, cuando se extingue un concierto, de su cumplimiento o de las causas de incumplimiento así como de que los compromisos financieros asumidos han sido correctamente liquidados.</t>
  </si>
  <si>
    <t>● Controles periódicos, análisis de informes de ejecución, para verificar y supervisar las fases de ejecución del concierto y verificaciones sobre el terreno, en su caso.
● Revisión de los informes finales, económicos y de actividades, en busca de posibles discrepancias entre las actividades previstas y las realmente efectuadas.</t>
  </si>
  <si>
    <t>● En el caso de convocatorias, comprobar si se ha formalizado el correspondiente anuncio de información previa (Anexo III. B., Sección 3, Ley 9/2017) y se ha publicado en el perfil del contratante y en el «Diario Oficial de la Unión Europea» (Disposición adicional decimonovena de la Ley 9/2017).
● En el caso de concesión directa, comprobar que en la memoria se justifica el supuesto que determina dicha concesión (por ejemplo: garantizar la continuidad asistencial de las personas beneficiarias de servicios o por circunstancias urgentes debidamente acreditadas).
● Se recomienda buscar la regulación concreta a nivel autonómico para esta modalidad de gestión y elaborar una lista de comprobación donde se revise el cumplimiento de todos los trámites legales relativos a publicidad y comunicación de los conciertos.</t>
  </si>
  <si>
    <t xml:space="preserve">● En el caso de un procedimiento sometido a licitación, comprobar, entre otros, que los criterios de valoración (comunes y específicos) y preferencia de entidades proveedoras de los servicios no son excluyentes así como el Informe del Comité de Valoración.
● Establecer un sistema de control previo del contenido de la convocatoria que garantice su correcta redacción y la inclusión detallada y clara de los criterios de valoración de las solicitudes. </t>
  </si>
  <si>
    <t>● Dejar constancia en un acta, informe o equivalente de la información sobre las solicitudes recibidas.
● Verificar que en el expediente se incluyen las DACI cumplimentadas por los intervinientes en la licitación por parte del Comité de Valoración.
● Verificar si existe un registro de las quejas o reclamaciones recibidas por otras entidades así como un análisis e informe de estas, con recomendaciones de las medidas a adoptar para corregir las deficiencias detectadas.</t>
  </si>
  <si>
    <t>● Establecer un control por parte del servicio jurídico o departamento correspondiente del concierto con carácter previo a la firma de este, que permita verificar que no se ha producido una alteración en los términos de la adjudicación, dejando constancia de este control por escrito.</t>
  </si>
  <si>
    <t>● Verificar que se determine qué método o métodos, según la normativa europea (artículos 53 y siguientes del RDC y las disposiciones específicas sobre el programa o ayuda recibida), deben aplicarse para el cálculo de los gastos (coste real o fórmulas de costes simplificados etc.)  , bien sea a través de la convocatoria en el caso de conciertos licitados o en la memoria en el caso de conciertos adjudicados de forma directa..</t>
  </si>
  <si>
    <t>● Verificar que el organismo revisa las justificaciones de los gastos (o forma de justificación establecida en la memoria y/o convocatoria) detectando y detrayendo los gastos que no responden a la actividad subvencionada, que no suponen un coste elegible susceptible de ser subvencionable, que se han justificado mediante documentos que no reflejaran la realidad de las operaciones, etc. Esta tarea es de gran importancia ya que los gastos no subvencionables o no elegibles en los que incurran los beneficiarios no podrán ser certificados y reintegrados.
● Solicitar y archivar en el expediente la evidencia documental de la revisión de la justificación de los gastos hecha por el organismo.
● Control de la documentación presentada por parte de las entidades a fin de detectar documentación o información falsificada/manipulada, verificando la documentación directamente con la fuente, cuando proceda.
● Control de las facturas emitidas a fin de detectar duplicidades (es decir, facturas repetidas con idéntico importe o número de factura, etc.) o falsificaciones.</t>
  </si>
  <si>
    <t>● Fundamentar detalladamente en la memoria respectiva los motivos y causas por las que se considera la encomienda de gestión el instrumento jurídico más adecuado.
● Verificar que el certificado o carta de insuficiencia de medios está bien fundamentado, aportando evidencia objetiva de la imposibilidad de ejecución con los medios de que dispone la entidad que encarga la gestión.</t>
  </si>
  <si>
    <t>● Establecer procedimientos internos de selección de medio propio que contengan información actualizada sobre la condición de medio propio de las entidades con el cumplimiento de todos los requisitos legales, tarifas aprobadas, comparativa de tarifas y evaluaciones de la ejecución (sobre todo, subcontratación) de encomiendas anteriores.
● Establecer procedimientos de comprobación de los requisitos para ser órgano encomendante de acuerdo con lo establecido en el artículo 3.3 de la Ley 9/2017 de 8 de noviembre. Se recomienda la utilización de una lista de comprobación (checklist).</t>
  </si>
  <si>
    <t>● Establecer procedimientos de comprobación de los requisitos para ser encargado de acuerdo con lo establecido en el artículo 32 de la Ley 9/2017. Se recomienda la utilización de una lista de comprobación (checklist).</t>
  </si>
  <si>
    <t>● Disponer de un procedimiento para la publicación de la encomienda formalizada en el Boletín Oficial correspondiente según la Administración a que pertenezca el órgano encomendante.</t>
  </si>
  <si>
    <t xml:space="preserve">● Elaborar y distribuir entre todo el personal involucrado en la gestión de actividades financiadas por el FSE+ de un breve manual relativo a las obligaciones de publicidad. 
● Lista de comprobación de requisitos en materia de información y publicidad, que incluya, entre otras cuestiones:      
a) Verificar que las encomiendas de gestión formalizadas que se desarrollen en este ámbito contengan, tanto en su encabezamiento como en su cuerpo de desarrollo, la siguiente referencia: «Fondo Social Europeo Plus - Financiado por la Unión Europea».
b) Verificar que se ha incluido en los documentos de la encomienda que en los proyectos y subproyectos que se desarrollen en ejecución del Fondo Social deberá  exhibirse de forma correcta y destacada el emblema de la UE con una declaración de financiación adecuada que diga (traducida a las lenguas locales cuando proceda) "financiado por la Unión Europea", junto al logo del Fondo Social Europeo, así como supervisar que los adjudicatarios harán mención del origen de esta financiación y velarán por darle visibilidad, en particular cuando promuevan las acciones y sus resultados, facilitando  información coherente, efectiva y proporcionada dirigida a múltiples destinatarios, incluidos los medios de comunicación y el público.                                                                                                                                      </t>
  </si>
  <si>
    <t>● Establecimiento de un procedimiento para la realización de encomiendas que contemple su adecuada planificación y análisis de plazo de ejecución, así como los mecanismos y trámites a realizar en caso de causas sobrevenidas que supongan prórrogas o ampliaciones de plazo.
● Establecimiento por parte del ente que realiza la encomienda de un sistema de seguimiento y control de cumplimiento de los hitos o entregas parciales durante la ejecución de la encomienda.</t>
  </si>
  <si>
    <t>● Establecimiento por parte de ente encomendante de mecanismos de seguimiento y control de la ejecución de la encomienda de gestión de acuerdo con lo previsto en las prescripciones técnicas.</t>
  </si>
  <si>
    <t>● Establecimiento por parte del ente encomendante de mecanismos de seguimiento y control de la ejecución de la encomienda de acuerdo con lo previsto en las prescripciones técnicas.
● Establecimiento de un procedimiento dentro de la planificación anual de las encomiendas donde se analice el grado de cumplimiento de la necesidad en las encomiendas del ejercicio anterior debiendo tenerse en cuenta ese análisis para las encomiendas futuras.</t>
  </si>
  <si>
    <t>● Comprobar si en la documentación previa de la operación ( DECA, informe   de necesidad …), se delimitan con la máxima precisión posible la forma en que los gastos, atendiendo a su naturaleza, deban justificarse.
● Revisar si, en su defecto o adicionalmente, el organismo elabora un manual de justificación en el que se detallen, entre otros, los procedimientos a seguir para la correcta documentación de los gastos.
● Establecer sistemas de comprobación y control de la pista de auditoría. Se recomienda la utilización de una lista de comprobación (checklist) de verificación de la documentación requerida para garantizar la pista de auditoría.
● Verificar el establecimiento de un mecanismo que permita cumplir con la obligación de conservar los documentos en los plazos y formatos señalados en el artículo 132 del Reglamento Financiero (5 años a partir de la operación, 3 años si la financiación no supera los 60.000 euros).</t>
  </si>
  <si>
    <t>● Verificar que en el DECA y demás documentación preparatoria de la operación se determine qué método o métodos, según la normativa europea (artículos 53 y siguientes del RDC y las disposiciones específicas sobre el programa o ayuda recibida), deben aplicarse para el cálculo de los gastos (coste real o fórmulas de costes simplificados ...).</t>
  </si>
  <si>
    <t>● Fundamentar detalladamente en la memoria respectiva los motivos y causas por las que se considera el encargo el instrumento jurídico más adecuado.
● Verificar que el certificado o carta de insuficiencia de medios está bien fundamentado, aportando evidencia objetiva de la imposibilidad de ejecución con los medios de que dispone la entidad que encarga la gestión.
● Comprobar que se determina de forma clara en el expediente las necesidades a cubrir, el objeto del encargo y las prestaciones a ejecutar, en la medida que la falta de esa concreción impide o dificulta seriamente la correcta definición de los componentes de las prestaciones y supone una seria limitación a la hora de fijar adecuadamente la retribución del encargo, lo que conlleva diferentes riesgos.</t>
  </si>
  <si>
    <t>● Fundamentar detalladamente en la memoria respectiva los motivos y causas por las que se considera el encargo el instrumento jurídico más adecuado.
● Verificar que el certificado o carta de insuficiencia de medios está bien fundamentado, aportando evidencia objetiva de la imposibilidad de ejecución con los medios de que dispone la entidad que encarga la gestión.</t>
  </si>
  <si>
    <t>● Establecer procedimientos de comprobación de los requisitos para ser órgano que encarga de acuerdo con lo establecido en el art. 3.3 de la Ley 9/2017 de 8 de noviembre. Se recomienda la utilización de una lista de comprobación (checklist).
● Establecer procedimientos internos de selección de medio propio que contengan información actualizada sobre la condición de medio propio de las entidades con el cumplimiento de todos los requisitos legales, tarifas aprobadas, comparativa de tarifas y evaluaciones de la ejecución (sobre todo, subcontratación) de encargos anteriores.</t>
  </si>
  <si>
    <t>● Comprobar que se selecciona adecuadamente el medio propio asegurándose de que su objeto social comprende las actuaciones objeto del encargo.</t>
  </si>
  <si>
    <t>● Comprobar que el ente que realiza el encargo lleva a cabo un seguimiento o control al medio propio para verificar si ha habido subcontratación, así como para verificar si la subcontratación se ha llevado a cabo de acuerdo con lo establecido en el artículo 32.7 de la LCSP. Se recomienda la utilización de una lista de comprobación (checklist).</t>
  </si>
  <si>
    <t>● Establecer un procedimiento de comprobación que deba archivarse en el expediente en el que se deje constancia del cumplimiento de todos los requisitos relativos al encargo, suficiente para justificar la contratación recurrente de los mismos proveedores. Se recomienda la utilización de una lista de comprobación (checklist).
● Disponer de una política en materia de conflicto de interés que incluya un código ético, un procedimiento para abordar conflictos de intereses, una Declaración de Ausencia de Conflicto de Interés (DACI) por parte de todos los intervinientes en el encargo y la verificación de su contenido, cuando proceda, así como medidas dirigidas a garantizar su cumplimiento.</t>
  </si>
  <si>
    <t>● Disponer de un procedimiento para la publicación del encargo formalizado en la Plataforma de Contratación así como en el Portal de Transparencia, y verificar su aplicación.</t>
  </si>
  <si>
    <t>● Elaborar y distribuir entre todo el personal involucrado en la gestión de actividades financiadas por el FSE de un breve manual relativo a las obligaciones de publicidad. 
● Lista de comprobación de requisitos en materia de información y publicidad, que incluya, entre otras cuestiones:      
a) Verificar que se ha incluido en los documentos del encargo que en los proyectos y subproyectos que se desarrollen en ejecución del Fondo Social deberá  exhibirse de forma correcta y destacada el emblema de la UE con una declaración de financiación adecuada que diga (traducida a las lenguas locales cuando proceda) "financiado por la Unión Europea", junto al logo del Fondo Social Europeo, así como supervisar que los adjudicatarios  harán mención del origen de esta financiación  y velarán por darle visibilidad, en particular cuando promuevan las acciones y sus resultados, facilitando  información coherente, efectiva y proporcionada dirigida a múltiples destinatarios, incluidos los medios de comunicación y el público.     
b) Verificar que los encargos formalizados que se desarrollen en este ámbito contengan, tanto en su encabezamiento como en su cuerpo de desarrollo, la siguiente referencia: «Fondo Social Europeo Plus - Financiado por la Unión Europea».</t>
  </si>
  <si>
    <t>● Establecimiento por parte de ente que realiza el encargo de mecanismos de seguimiento y control de la ejecución del encargo de acuerdo con lo previsto en las prescripciones técnicas.</t>
  </si>
  <si>
    <t>● Establecimiento por parte de la entidad que realiza el encargo de mecanismos de seguimiento y control de la ejecución del encargo de acuerdo con lo previsto en las prescripciones técnicas.
● Establecimiento de un procedimiento dentro de la planificación anual de los encargos donde se analice el grado de cumplimiento de la necesidad en los encargos del ejercicio anterior debiendo tenerse en cuenta ese análisis para los encargos futuros.</t>
  </si>
  <si>
    <t>● Comprobar que el medio propio dispone de tarifas aprobadas (y actualizadas cuando proceda), con el nivel de detalle necesario, aplicables para determinar la retribución del encargo.</t>
  </si>
  <si>
    <t>● Comprobar que se dispone de un procedimiento de elaboración del presupuesto, tanto del encargo como de las posibles prórrogas, modificaciones o ampliaciones, teniendo en cuenta no sólo las tarifas aplicadas y costes, sino también la estimación de unidades necesarias, y que se aplica correctamente.</t>
  </si>
  <si>
    <t>● Comprobar que se dispone de un procedimiento de elaboración del presupuesto de los encargos a medios propios que contemple la sujeción o no de la operación al IVA, y que se aplica correctamente.</t>
  </si>
  <si>
    <t>● Comprobar si en la documentación previa de la operación ( DECA, informe de necesidad, …)  , se delimitan con la máxima precisión posible la forma en que los gastos, atendiendo a su naturaleza, deban justificarse.
● Revisar si, en su defecto o adicionalmente, el organismo elabora un manual de justificación en el que se detallen, entre otros, los procedimientos a seguir para la correcta documentación de los gastos.
● Establecer sistemas de comprobación y control de la pista de auditoría. Se recomienda la utilización de una lista de comprobación (checklist) de verificación de la documentación requerida para garantizar la pista de auditoría.
● Verificar el establecimiento de un mecanismo que permita cumplir con la obligación de conservar los documentos en los plazos y formatos señalados en el artículo 132 del Reglamento Financiero (5 años a partir de la operación, 3 años si la financiación no supera los 60.000 euros).</t>
  </si>
  <si>
    <t>● Verificar que en el DECA y demás documentación preparatoria de la operación se determine qué método o métodos, según la normativa europea (artículos 53 y siguientes del RDC y las disposiciones específicas sobre el programa o ayuda recibida), deben aplicarse para el cálculo de los gastos (coste real o fórmulas de costes simplificados...).</t>
  </si>
  <si>
    <t>● Disponer en los procedimientos internos de un registro del tiempo de dedicación de su personal a los distintos proyectos. Se recomienda la implementación de sistemas internos de información que permitan la imputación del tiempo de los recursos humanos, como por ejemplo el sistema SAP. Asimismo, se recomienda establecer sistemas de doble firma del parte de tiempo por parte del trabajador y del empleador.</t>
  </si>
  <si>
    <t>● Comprobar que el organismo dispone de un procedimiento de imputación objetivo y razonable de costes a los proyectos. Se recomienda que en dicho procedimiento quede debidamente justificado el coste/hora, la tarifa asignada y las horas extras realizadas por los recursos humanos asignados.</t>
  </si>
  <si>
    <t>● Comprobar que el organismo dispone de un procedimiento de imputación objetivo y razonable de costes a los proyectos a través del cual quede debidamente justificado los recursos humanos empleados, sus tareas asignadas y el producto de las mismas.</t>
  </si>
  <si>
    <t>● Comprobar que el organismo dispone de un procedimiento de imputación objetivo y razonable de costes a los proyectos, a través del cual se refleje de manera fiel y exacta el momento en el que se incurre en dichos del personal, permitiendo comprobar que se han realizado dentro del periodo de ejecución de la operación.</t>
  </si>
  <si>
    <t>● Realización de controles periódicos y/o análisis de informes de ejecución de operaciones y/o realización de verificaciones sobre el terreno, en los casos en que proceda que permitan comprobar la ejecución de los hitos de ejecución periódicos del servicio y de los posibles retrasos en su entrega.
● Establecer por parte del organismo de un sistema interno de calidad y de seguimiento de cumplimiento de objetivos aplicable durante la ejecución del servicio.</t>
  </si>
  <si>
    <t>● Realización de controles periódicos y/o análisis de informes de ejecución de operaciones y/o realización de verificaciones sobre el terreno, en los casos en que proceda que permitan comprobar la ejecución del servicio en plazo. 
● Establecer por parte del organismo de un sistema interno de calidad y de seguimiento de cumplimiento de objetivos.</t>
  </si>
  <si>
    <t>● Establecer sistemas de control de cumplimiento de concurrencia competitiva en la negociación con proveedores por parte de los beneficiarios. Se recomienda utilizar una lista de comprobación (checklist estándar de la organización o lista elaborada ad hoc para la convocatoria) sobre los pasos a seguir para garantizar un procedimiento de concurrencia competitiva y la garantía de no vinculación entre beneficiarios y proveedores. 
  Es recomendable asimismo que el organismo seleccione una persona (preferiblemente, externa al proceso de gestión y selección de solicitudes) responsable de verificar el cumplimiento de dichos requisitos.</t>
  </si>
  <si>
    <t>● Establecer de una figura supervisora encargada del control de los recursos humanos asignados así como de la calidad y eficiencia de los trabajos.
● 	Establecer por parte del organismo de sistemas internos de calidad.</t>
  </si>
  <si>
    <t>● Establecer "presupuestos de horas por actividad" y análisis de las desviaciones con respecto a las actividades acordadas de forma inicial en el contrato.</t>
  </si>
  <si>
    <t xml:space="preserve">● Establecer procedimientos de comprobación de cumplimiento de las obligaciones derivadas de la normativa europea en materia de publicidad e información. Se recomienda la utilización de una lista de comprobación (checklist). 
Asimismo, se recomienda la elaboración de un manual en el que se especifiquen las medidas de información y publicidad que deben llevarse a cabo en todo caso, que se distribuya entre todo el personal implicado en la gestión.
● Establecer medidas de información al personal involucrado en la gestión de actividades cofinanciadas sobre las obligaciones en materia de información y publicidad. Se recomienda la elaboración y distribución entre todo el personal involucrado de un breve manual sobre la materia. </t>
  </si>
  <si>
    <t>● Comprobar si en la documentación previa de la operación (DECA, manual de gestión, …)  , se delimitan con la máxima precisión posible la forma en que los gastos, atendiendo a su naturaleza, deban justificarse.
● Revisar si, en su defecto o adicionalmente, el organismo elabora un manual de justificación en el que se detallen, entre otros, los procedimientos a seguir para la correcta documentación de los gastos.
● Establecer sistemas de comprobación y control de la pista de auditoría. Se recomienda la utilización de una lista de comprobación (checklist) de verificación de la documentación requerida para garantizar la pista de auditoría.
● Verificar el establecimiento de un mecanismo que permita cumplir con la obligación de conservar los documentos en los plazos y formatos señalados en el artículo 132 del Reglamento Financiero (5 años a partir de la operación, 3 años si la financiación no supera los 60.000 euros).</t>
  </si>
  <si>
    <t>● Verificar que el organismo revise las justificaciones de los gastos (o forma de justificación establecida en la documentación previa de la operación) detectando y detrayendo los gastos que no responden a la actividad en cuestión, que no suponen un coste elegible para la operación, que se hayan justificado mediante documentos que no reflejaran la realidad de las operaciones, etc. Esta tarea es de gran importancia ya que los gastos no elegibles en los que incurran los beneficiarios no podrán ser certificados y reintegrados.
● Elaborar un manual en el que se especifiquen las normas en materia de elegibilidad del gasto que se distribuya entre todo el personal implicado en la gestión.
● Solicitar y archivar en el expediente la evidencia documental de la revisión de la justificación de los gastos hecha por el organismo.
● Control de la documentación presentada por parte de las entidades a fin de detectar documentación o información falsificada/manipulada, verificando la documentación directamente con la fuente, cuando proceda.
● Control de las facturas emitidas a fin de detectar duplicidades (es decir, facturas repetidas con idéntico importe o número de factura, etc.) o falsificaciones.</t>
  </si>
  <si>
    <t>● Apertura pública de las ofertas presentadas, y levantamiento de acta recogiendo la información de las ofertas recibidas y valoradas.</t>
  </si>
  <si>
    <t xml:space="preserve">● Disponer de procedimientos en el órgano de contratación que garanticen la revisión de la justificación de la forma de tramitación de los contratos, su adecuación y correcta aplicación, de tal manera que se asegure el cumplimiento de los principios de libertad de acceso, no discriminación e igualdad de trato. </t>
  </si>
  <si>
    <t>● Establecer un sistema de control tanto de los pliegos como de la concordancia entre las ofertas presentadas y las condiciones establecidas en los mismos, dejando constancia por escrito de dicho control. Se recomienda elaborar un acta de la mesa de contratación, la realización de un análisis de las ofertas, de la publicación y de los pliegos, entre otros documentos.  
● Comprobar la no existencia de vinculación empresarial entre las empresas licitadoras.</t>
  </si>
  <si>
    <t xml:space="preserve">● Establecer un sistema de control tanto de los pliegos como de la concordancia entre las ofertas presentadas y las condiciones establecidas en los mismos, dejando constancia por escrito de dicho control que permita comprobar la no existencia de acuerdos entre los licitadores en relación con los precios ofertados. Se recomienda elaborar un acta de la mesa de contratación, la realización de un análisis de las ofertas, de la publicación y de los pliegos, entre otros documentos.  </t>
  </si>
  <si>
    <t xml:space="preserve">● Establecer un sistema de control tanto de los pliegos como de la concordancia entre las ofertas presentadas y las condiciones establecidas en los mismos, dejando constancia por escrito de dicho control que permita comprobar la no existencia de acuerdos entre los licitadores para el reparto del mercado. Se recomienda elaborar un acta de la mesa de contratación, la realización de un análisis de las ofertas, de la publicación y de los pliegos, entre otros documentos.  </t>
  </si>
  <si>
    <t xml:space="preserve">● Establecer un sistema de control tanto de los pliegos como de la concordancia entre las ofertas presentadas y las condiciones establecidas en los mismos, dejando constancia por escrito de dicho control que permita comprobar que no se produzca la subcontratación de licitadores que no hayan resultado adjudicatarios en el procedimiento de contratación. Se recomienda elaborar un acta de la mesa de contratación, la realización de un análisis de las ofertas, de la publicación y de los pliegos, entre otros documentos.  </t>
  </si>
  <si>
    <t>● Elaboración por parte del organismo de un checklist de verificación de la documentación requerida para poder acceder al proceso de contratación.
● Establecer un control de la documentación presentada por parte de los licitadores a fin de detectar documentación o información falsificada.</t>
  </si>
  <si>
    <t>● Verificar que en el procedimiento se realiza un examen de los antecedentes de los potenciales proveedores terceros.
● Establecer procedimientos que limiten la información sobre el procedimiento de contratación para los agentes externos/ajenos al mismo (barreras o “murallas chinas”).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cumplimiento.Verificar que en el expediente se incluyen las DACI cumplimentadas por los intervinientes en la licitación por parte del órgano de contratación.</t>
  </si>
  <si>
    <t>● Verificar el establecimiento en los procedimientos el examen de los antecedentes de los potenciales proveedores terceros.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el expediente se incluyen las DACI cumplimentadas por los intervinientes en la licitación por parte del órgano de contratación.</t>
  </si>
  <si>
    <t>●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el expediente se incluyen las DACI cumplimentadas por los intervinientes en la licitación por parte del órgano de contratación.
● Verificar el establecimiento en los procedimientos el examen de los antecedentes de los potenciales proveedores terceros.</t>
  </si>
  <si>
    <t>● Disponer de sistemas que garanticen un cierto grado de aleatoriedad y heterogeneidad en la selección de los miembros de los comités de evaluación.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el expediente se incluyen las DACI cumplimentadas por los intervinientes en la licitación por parte del órgano de contratación.
● Establecer un control de calidad aleatorio sobre los procedimientos de contratación realizados.</t>
  </si>
  <si>
    <t>● Disponer de sistemas que garanticen un cierto grado de aleatoriedad y heterogeneidad en la selección de los miembros de los comités de evaluación.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el expediente se incluyen las DACI cumplimentadas por los intervinientes en la licitación por parte del órgano de contratación.
● Establecer un control de calidad aleatorio sobre los procedimientos de contratación realizados así como sobre los productos derivados de los mismos.</t>
  </si>
  <si>
    <t>● Disponer de sistemas que garanticen un cierto grado de aleatoriedad y heterogeneidad en la selección de los miembros de los comités de evaluación.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el expediente se incluyen las DACI cumplimentadas por los intervinientes
● Establecer un control de calidad aleatorio sobre los procedimientos de contratación realizados.</t>
  </si>
  <si>
    <t>●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el expediente se incluyen las DACI cumplimentadas por los intervinientes en la licitación por parte del órgano de contratación.
● Elaboración de un informe periódico sobre el estado en que se encuentra el procedimiento de contratación para dejar constancia de las incidencias ocurridas en el mismo (retrasos, situaciones inusuales, retiro de alguna oferta...) que permita hacer un seguimiento sobre el registro y disponibilidad documental de las ofertas en el seno de órgano adjudicador.</t>
  </si>
  <si>
    <t>● Establecer un sistema de control previo sobre el contenido de los pliegos que garantice la no inclusión de criterios discriminatorios e ilícitos, su correcta redacción y la inclusión detallada y clara de los criterios de valoración de las ofertas.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t>
  </si>
  <si>
    <t>● Establecer un sistema de control sobre el contenido y de los pliegos y de la concordancia entre las ofertas presentadas y las condiciones establecidas en los mismos, dejando constancia por escrito de dicho control. Se recomienda elaborar un acta de la mesa de contratación, la realización de un análisis de los pliegos, análisis de las ofertas, publicación de la adjudicación).
● Establecer un control sobre la pertinencia de la justificación de la baja de precios temeraria.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t>
  </si>
  <si>
    <t>● Apertura pública de las ofertas presentadas, y levantamiento de acta recogiendo la información de las ofertas recibidas.
● Elaborar un checklist de verificación de cumplimiento de requisitos previos para la admisión de las ofertas previo a la valoración de las mismas.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t>
  </si>
  <si>
    <t>● Apertura pública de las ofertas presentadas, y levantamiento de acta recogiendo la información de las ofertas recibidas.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Establecer un mecanismo de control para llevar a cabo un seguimiento de las ofertas presentadas hasta la adjudicación, de forma que se pueda garantizar que no se han producido modificaciones es las mismas para obtener ventaja en el procedimiento licitador.</t>
  </si>
  <si>
    <t>● Apertura pública de las ofertas presentadas, y levantamiento de acta recogiendo la información de las ofertas recibidas.
● Utilización de un procedimiento de verificación de cumplimiento de requisitos de valoración de ofertas. Se recomienda la elaboración de una lista de comprobación de requisitos (checklist).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t>
  </si>
  <si>
    <t>● Apertura pública de las ofertas presentadas, y levantamiento de acta recogiendo la información de las ofertas recibidas.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Registro e informe de las quejas o reclamaciones recibidas por parte de otros ofertantes y análisis de las mismas.</t>
  </si>
  <si>
    <t xml:space="preserve">● Establecer un control por parte del servicio jurídico del contrato con carácter previo a la firma del mismo que permita hacer un seguimiento sobre el registro y la disponibilidad documental de las ofertas en el seno de órgano adjudicador, dejando constancia de este control por escrito.  </t>
  </si>
  <si>
    <t>● Realización de controles periódicos/análisis de informes de ejecución/realización de verificaciones sobre el terreno, en su caso.
● En el caso de sustitución de productos, verificar que esta circunstancia estaba prevista en los pliegos, así como el establecimiento de la necesidad de un informe o memoria explicativa en la que se deje constancia de que los nuevos productos son de una calidad equivalente a los iniciales y cumplen con la misma finalidad que aquellos.
● Establecimiento de controles periódicos de la calidad de la prestación y establecimiento de cláusulas de penalización en los contratos para aquellas situaciones en las que se detecte que la calidad de la prestación no se ajusta con la oferta presentada.
● Revisión de los informes finales, económicos y de actividades, en busca de posibles discrepancias entre las actividades previstas y las realmente efectuadas.</t>
  </si>
  <si>
    <t>● Establecer controles aleatorios sobre la calidad del servicio prestado y sobre la pertinencia de la justificación de los cambios en la prestación.
● Revisión de los informes finales, económicos y de actividades, en busca de posibles discrepancias entre las actividades previstas y las realmente efectuadas.</t>
  </si>
  <si>
    <t>● Controles periódicos, análisis de informes de ejecución, para verificar y supervisar las fases de ejecución del contrato y verificaciones sobre el terreno, en su caso.
● Revisión de los informes finales, económicos y de actividades, en busca de posibles discrepancias entre las actividades previstas y las realmente efectuadas.</t>
  </si>
  <si>
    <t xml:space="preserve">● Establecer procedimientos de comprobación de cumplimiento de los requisitos de información y publicidad. Se recomienda la utilización de una lista de comprobación (checklist).
● Establecer medidas de información al personal involucrado en la gestión de actividades cofinanciadas sobre las obligaciones en materia de información y publicidad. Se recomienda la elaboración y distribución entre todo el personal involucrado de un breve manual sobre la materia. </t>
  </si>
  <si>
    <t>● Comprobar si en la documentación previa de la operación ( DECA, pliegos, informe de necesidad, …)  , se delimitan con la máxima precisión posible la forma en que los gastos, atendiendo a su naturaleza, deban justificarse.
● Revisar si, en su defecto o adicionalmente, el organismo elabora un manual de justificación en el que se detallen, entre otros, los procedimientos a seguir para la correcta documentación de los gastos.
● Establecer sistemas de comprobación y control de la pista de auditoría. Se recomienda la utilización de una lista de comprobación (checklist) de verificación de la documentación requerida para garantizar la pista de auditoría.
● Verificar el establecimiento de un mecanismo que permita cumplir con la obligación de conservar los documentos en los plazos y formatos señalados en el artículo 132 del Reglamento Financiero (5 años a partir de la operación, 3 años si la financiación no supera los 60.000 euros).</t>
  </si>
  <si>
    <t>● Verificar que en el DECA y demás documentación preparatoria de la operación se determine qué método o métodos, según la normativa europea (artículos 53 y siguientes del RDC y las disposiciones específicas sobre el programa o ayuda recibida), deben aplicarse para el cálculo de los gastos (coste real,   fórmulas de costes simplificados, ...).</t>
  </si>
  <si>
    <t>● Verificar que la publicación de las bases reguladoras y/o convocatoria se realiza en todos los medios en que proceda para garantizar la máxima difusión, proporcionales a la importancia o cuantía de la convocatoria, obligatorios y no obligatorios, con el fin de garantizar la máxima difusión (BOE, BOCA, portal web, prensa, etc.).
● Los organismos públicos, deben verificar que se cumple lo estipulado en los artículos 9.3 y 17.8 de la Ley General de Subvenciones referidos a los deberes de publicación e información de las convocatorias.
● En el caso de organismos privados, las convocatorias de ayudas deben publicarse en su página web y en otros instrumentos de comunicación que permitan hacer llegar de forma efectiva la convocatoria a los potenciales beneficiarios.</t>
  </si>
  <si>
    <t>● Comprobar que los requisitos exigidos para obtener la condición de beneficiario quedan recogidos de forma clara e inequívoca en las bases reguladoras/convocatoria, con un nivel de detalle adecuado, que permita delimitar claramente a aquellos beneficiarios que no cumplen los mismos.</t>
  </si>
  <si>
    <t>●  Establecer sistemas de control de cumplimiento de plazos. 
● Establecer procedimientos que permitan garantizar el sellado de las solicitudes en el momento de registro, sellado que debe incorporar la fecha de entrada de estas o registro electrónico.</t>
  </si>
  <si>
    <t>● Revisión de la inclusión de los baremos utilizados para la selección de beneficiarios en las resoluciones que vayan a ser publicadas en los Boletines Oficiales correspondientes.
● Revisión del cumplimiento de los baremos exigidos en la convocatoria por parte de los beneficiarios seleccionados cumplen con los baremos exigidos en la convocatoria.</t>
  </si>
  <si>
    <t>● Garantizar la aplicación de un criterio de selección de beneficiarios uniforme y homogéneo. Se recomienda que la evaluación de los candidatos se realice por un mismo comité o sea supervisado por un mismo responsable.  Asimismo, es recomendable la utilización de una lista de comprobación (checklist) que permita comprobar el cumplimiento de los requisitos por parte de todos los beneficiarios seleccionados.</t>
  </si>
  <si>
    <t>● Disponer de una Política en materia de Conflicto de Interés que incluya un Código Ético, un procedimiento para abordar conflictos de intereses, una Declaración de Ausencia de Conflicto de Interés (DACI) por parte de todos los intervinientes en las diferentes fases de la concesión de la ayuda y la verificación de su contenido, cuando proceda, así como medidas dirigidas a garantizar su cumplimiento.
● Verificar que en el expediente se incluyen las DACI cumplimentadas por los intervinientes en la gestión del proceso de concesión.
● Establecer medidas de información dirigidas a los miembros del Comité de Evaluación sobre los efectos de participar en actividades que pudieran comprometer su integridad. Sería recomendable que dichas medidas de información describan claramente las consecuencias que se derivarían de determinadas conductas irregulares.</t>
  </si>
  <si>
    <t>● Realización de cuadros de financiación a nivel de operación que permitan llevar un control de la financiación de las operaciones analizando los gastos e ingresos de las mismas y que otorguen detalle sobre cofinanciadores, cuantías de cofinanciación, destino de la financiación, proyecto y total de gasto. 
Este ejercicio de documentación puede realizarse mediante la aportación de los textos formales relativos a convenios así como certificados del cofinanciador que establezcan la proveniencia de la financiación y certifiquen el no incumplimiento de las reglas europeas sobre intensidad de las ayudas. 
● Establecer una contabilidad analítica de los ingresos y gastos de las operaciones. Individualizar en dicha contabilidad los gastos que serán cofinanciables con cargo al FSE Plus.
● Establecer medidas que impidan que se produzca un exceso de financiación de las actividades. Por ejemplo, en el caso de percibir financiación a través de convenios, sería preciso establecer la cofinanciación en base a porcentajes complementarios o por importes que garanticen que la suma total de todos los ingresos no supera el importe total de los gastos ejecutados.</t>
  </si>
  <si>
    <t xml:space="preserve">● Asegurar la compatibilidad de las ayudas recibidas en caso de percibir más de una para una misma operación, según lo establecido en las bases de la convocatoria. 
Este ejercicio de documentación puede realizarse mediante la aportación de los textos formales relativos a convenios así como certificados del cofinanciador que establezcan la proveniencia de la financiación y certifiquen el no incumplimiento de las reglas europeas sobre intensidad de las ayudas.
● Realización de cuadros de financiación a nivel de operación que permitan llevar un control de la financiación de las operaciones analizando los gastos e ingresos de las mismas y que otorguen detalle sobre cofinanciadores, cuantías, destino de la financiación, proyecto y total de gasto. </t>
  </si>
  <si>
    <t>● Elaboración cuadros de financiación a nivel de operación que permitan llevar un control de las distintas fuentes de financiación de las operaciones que permitan identificar y analizar todos los gastos e ingresos.
● Establecer procedimientos de comprobación. Se recomienda utilizar listas de comprobación (checklist) que contengan los elementos que reflejen el soporte de las aportaciones de terceros.
● Establecer una contabilidad analítica de los ingresos y gastos de las operaciones.</t>
  </si>
  <si>
    <t>● Realizar una revisión de la documentación relativa a las operaciones para garantizar el cumplimiento de los deberes de información y publicidad, así como lo incluido en los planes de información y comunicación del FSE+. 
● Supervisar que en todos los documentos derivados de la ejecución de operaciones figuren los logos del FSE+, Unión Europea, Programa o Iniciativa/Instrumento europeo financiador.</t>
  </si>
  <si>
    <t>● Comprobar si en la redacción de las bases reguladoras/convocatorias se delimitan con la máxima precisión posible qué gastos son subvencionables y la forma en que estos, atendiendo a su naturaleza, deban justificarse.
● Revisar si, en su defecto o adicionalmente, el organismo elabora un manual de justificación en el que se detallen, entre otros, los procedimientos a seguir para la correcta documentación de los gastos.
● Establecer sistemas de comprobación y control de la pista de auditoría. Se recomienda la utilización de una lista de comprobación (checklist) de verificación de la documentación requerida para garantizar la pista de auditoría.</t>
  </si>
  <si>
    <t>● Verificar que en las bases reguladoras de las convocatorias se determine qué método o métodos, según la normativa europea (artículos 53 y siguientes del RDC y las disposiciones específicas sobre el programa o ayuda recibida), deben aplicarse para el cálculo de los gastos (coste real, o fórmulas de costes simplificados.).</t>
  </si>
  <si>
    <t>● Verificar que el organismo revisa las justificaciones de los gastos (o forma de justificación establecida en las bases reguladoras o convocatoria) detectando y detrayendo los gastos que no responden a la actividad subvencionada, que no suponen un coste elegible susceptible de ser subvencionable, que se han justificado mediante documentos que no reflejaran la realidad de las operaciones, etc. Esta tarea es de gran importancia ya que los gastos no subvencionables o no elegibles en los que incurran los beneficiarios no podrán ser certificados y reintegrados.
● Solicitar y archivar en el expediente la evidencia documental de la revisión de la justificación de los gastos hecha por el organismo.
● Control de la documentación presentada por parte de las entidades a fin de detectar documentación o información falsificada/manipulada, verificando la documentación directamente con la fuente, cuando proceda.
● Control de las facturas emitidas a fin de detectar duplicidades (es decir, facturas repetidas con idéntico importe o número de factura, etc.) o falsificaciones.</t>
  </si>
  <si>
    <t>Se cumplimentará en primer lugar la parte correspondiente a las probabilidades de cada método de gestión. 
Deberán de tenerse en cuenta las indicaciones contenidas en las pestañas y guiarse según lo especificado. En el caso de que aplique el método de gestión, contestar las preguntas que se indican relativas a cada una de las banderas. El sistema calculará automáticamente la probabilidad de suceso de la bandera roja.</t>
  </si>
  <si>
    <r>
      <t xml:space="preserve">2. Para cada método de gestión se han estructurado los riesgos por </t>
    </r>
    <r>
      <rPr>
        <b/>
        <sz val="12"/>
        <color theme="1"/>
        <rFont val="Aptos Narrow"/>
        <family val="2"/>
      </rPr>
      <t>Fase de Ejecución</t>
    </r>
    <r>
      <rPr>
        <sz val="12"/>
        <color theme="1"/>
        <rFont val="Aptos Narrow"/>
        <family val="2"/>
      </rPr>
      <t>.</t>
    </r>
  </si>
  <si>
    <r>
      <t>Es la puntuación asignada a un riesgo, teniendo en cuenta si los controles están diseñados e implantados y, por tanto, permiten redu</t>
    </r>
    <r>
      <rPr>
        <sz val="12"/>
        <rFont val="Aptos Narrow"/>
        <family val="2"/>
      </rPr>
      <t xml:space="preserve">cir la probabilidad del suceso </t>
    </r>
  </si>
  <si>
    <r>
      <t xml:space="preserve">Para cada uno de los riesgos definidos en la matriz, una vez la entidad haya asignado  las probabilidades de suceso de las banderas, y teniendo en cuenta los valores iniciales de categorización e impacto, y teniendo en cuenta si el/los control/es están diseñados e implentados, se obtendrá una </t>
    </r>
    <r>
      <rPr>
        <b/>
        <sz val="12"/>
        <color indexed="8"/>
        <rFont val="Aptos Narrow"/>
        <family val="2"/>
      </rPr>
      <t>Puntuación total final del riesgo</t>
    </r>
    <r>
      <rPr>
        <sz val="12"/>
        <color theme="1"/>
        <rFont val="Aptos Narrow"/>
        <family val="2"/>
      </rPr>
      <t>, cuyo valor estará en los siguientes intervalos:</t>
    </r>
  </si>
  <si>
    <r>
      <t xml:space="preserve">Para el </t>
    </r>
    <r>
      <rPr>
        <b/>
        <sz val="12"/>
        <color indexed="8"/>
        <rFont val="Aptos Narrow"/>
        <family val="2"/>
      </rPr>
      <t>coeficiente</t>
    </r>
    <r>
      <rPr>
        <sz val="12"/>
        <color theme="1"/>
        <rFont val="Aptos Narrow"/>
        <family val="2"/>
      </rPr>
      <t xml:space="preserve"> de riesgo final resultante por método de gestión se tiene en cuenta el resultado de todos los riesgos identificados. Los valores de dicho coeficiente seguirán los siguientes intervalos:</t>
    </r>
  </si>
  <si>
    <r>
      <t xml:space="preserve">1. Por </t>
    </r>
    <r>
      <rPr>
        <b/>
        <sz val="12"/>
        <rFont val="Aptos Narrow"/>
        <family val="2"/>
      </rPr>
      <t>Método de Gestión</t>
    </r>
    <r>
      <rPr>
        <sz val="12"/>
        <rFont val="Aptos Narrow"/>
        <family val="2"/>
      </rPr>
      <t xml:space="preserve">: </t>
    </r>
    <r>
      <rPr>
        <b/>
        <sz val="12"/>
        <rFont val="Aptos Narrow"/>
        <family val="2"/>
      </rPr>
      <t>Subvenciones</t>
    </r>
    <r>
      <rPr>
        <sz val="12"/>
        <rFont val="Aptos Narrow"/>
        <family val="2"/>
      </rPr>
      <t xml:space="preserve">; </t>
    </r>
    <r>
      <rPr>
        <b/>
        <sz val="12"/>
        <rFont val="Aptos Narrow"/>
        <family val="2"/>
      </rPr>
      <t>Contratación</t>
    </r>
    <r>
      <rPr>
        <sz val="12"/>
        <rFont val="Aptos Narrow"/>
        <family val="2"/>
      </rPr>
      <t xml:space="preserve"> y </t>
    </r>
    <r>
      <rPr>
        <b/>
        <sz val="12"/>
        <rFont val="Aptos Narrow"/>
        <family val="2"/>
      </rPr>
      <t>Gestión Directa</t>
    </r>
    <r>
      <rPr>
        <sz val="12"/>
        <rFont val="Aptos Narrow"/>
        <family val="2"/>
      </rPr>
      <t xml:space="preserve"> (</t>
    </r>
    <r>
      <rPr>
        <b/>
        <sz val="12"/>
        <rFont val="Aptos Narrow"/>
        <family val="2"/>
      </rPr>
      <t>Medios Propios; Encargo a Medio Propio; Encomiendas</t>
    </r>
    <r>
      <rPr>
        <sz val="12"/>
        <rFont val="Aptos Narrow"/>
        <family val="2"/>
      </rPr>
      <t xml:space="preserve">; </t>
    </r>
    <r>
      <rPr>
        <b/>
        <sz val="12"/>
        <rFont val="Aptos Narrow"/>
        <family val="2"/>
      </rPr>
      <t>Convenios</t>
    </r>
    <r>
      <rPr>
        <sz val="12"/>
        <rFont val="Aptos Narrow"/>
        <family val="2"/>
      </rPr>
      <t xml:space="preserve"> y </t>
    </r>
    <r>
      <rPr>
        <b/>
        <sz val="12"/>
        <rFont val="Aptos Narrow"/>
        <family val="2"/>
      </rPr>
      <t>Conciertos</t>
    </r>
    <r>
      <rPr>
        <sz val="12"/>
        <rFont val="Aptos Narrow"/>
        <family val="2"/>
      </rPr>
      <t>).</t>
    </r>
  </si>
  <si>
    <t>Probabilidad: Subvenciones, Contratación y Gestión Directa  (Medios Propios; Encargo a Medio Propio; Encomiendas; Convenios y Conciertos).</t>
  </si>
  <si>
    <t>Controles: Subvenciones, Contratación y Gestión Directa  (Medios Propios; Encargo a Medio Propio; Encomiendas; Convenios y Conciertos).</t>
  </si>
  <si>
    <t>Se deberá indicar si se van a implantar o si se tienen implantados los controles que se indican para cada una de las banderas de los riesgos en la columna "¿Control diseñado e implantado?".
El sistema determinará automáticamente el resultado del riesgo.</t>
  </si>
  <si>
    <t>BANDERAS (BR)</t>
  </si>
  <si>
    <r>
      <t xml:space="preserve">El organismo no ha realizado una correcta documentación de la operación que permita garantizar la pista de auditoría.
</t>
    </r>
    <r>
      <rPr>
        <u/>
        <sz val="14"/>
        <color indexed="8"/>
        <rFont val="Calibri"/>
        <family val="2"/>
        <scheme val="minor"/>
      </rPr>
      <t>Descripción detallada:</t>
    </r>
    <r>
      <rPr>
        <sz val="14"/>
        <color theme="1"/>
        <rFont val="Calibri"/>
        <family val="2"/>
        <scheme val="minor"/>
      </rPr>
      <t xml:space="preserve">
En el expediente de la operación no quedan documentados los procesos que permiten garantizar la pista de auditoría (por ejemplo: procesos de gastos, procesos de pagos, procesos de contabilidad, de publicidad y de ejecución, entre otros).  </t>
    </r>
  </si>
  <si>
    <r>
      <t xml:space="preserve">En primer lugar, tendrá que contestar </t>
    </r>
    <r>
      <rPr>
        <b/>
        <u/>
        <sz val="14"/>
        <color indexed="8"/>
        <rFont val="Aptos Narrow"/>
        <family val="2"/>
      </rPr>
      <t xml:space="preserve">obligatoriamente </t>
    </r>
    <r>
      <rPr>
        <b/>
        <sz val="14"/>
        <color indexed="8"/>
        <rFont val="Aptos Narrow"/>
        <family val="2"/>
      </rPr>
      <t>a la siguiente pregunta:</t>
    </r>
  </si>
  <si>
    <r>
      <t xml:space="preserve">El organismo no ha dado la suficiente difusión a las bases reguladoras/convocatoria.
</t>
    </r>
    <r>
      <rPr>
        <u/>
        <sz val="14"/>
        <color indexed="8"/>
        <rFont val="Aptos Narrow"/>
        <family val="2"/>
      </rPr>
      <t>Descripción detallada:</t>
    </r>
    <r>
      <rPr>
        <b/>
        <sz val="14"/>
        <color indexed="8"/>
        <rFont val="Aptos Narrow"/>
        <family val="2"/>
      </rPr>
      <t xml:space="preserve">
</t>
    </r>
    <r>
      <rPr>
        <sz val="14"/>
        <color theme="1"/>
        <rFont val="Aptos Narrow"/>
        <family val="2"/>
      </rPr>
      <t xml:space="preserve">
La publicación de las bases reguladoras/convocatoria no se ha realizado para garantizar la máxima difusión de estas, sin contribuir de esta manera a los principios de publicidad y transparencia. Esta bandera puede producirse por la falta de difusión de las mismas en los medios obligatorios establecidos en la Ley General de Subvenciones cuando se trata de organismos públicos y/o en otros medios de difusión (Boletines Oficiales, portal web, prensa, etc.).
Según el artículo 9.3 de la Ley General de Subvenciones, los organismos públicos deben publicar las bases reguladoras de cada tipo de subvención en el "Boletín Oficial del Estado" o en el diario oficial correspondiente. 
Según el artículo 17.8 de la Ley General de Subvenciones, las administraciones concedentes deben comunicar a la Base de Datos Nacional de Subvenciones (BDNS) el texto de la convocatoria y la información requerida por la Base de Datos. Posteriormente, la BDNS dará traslado al diario oficial correspondiente del extracto de la convocatoria, para su publicación, que tendrá carácter gratuito. No cumplir esto será causa de anulabilidad de la convocatoria.</t>
    </r>
  </si>
  <si>
    <r>
      <t xml:space="preserve">El organismo no ha definido con claridad en la convocatoria los requisitos que deben cumplir los beneficiarios/destinatarios de las ayudas/subvenciones.
</t>
    </r>
    <r>
      <rPr>
        <u/>
        <sz val="14"/>
        <color rgb="FF000000"/>
        <rFont val="Aptos Narrow"/>
        <family val="2"/>
      </rPr>
      <t>Descripción detallada:</t>
    </r>
    <r>
      <rPr>
        <b/>
        <u/>
        <sz val="14"/>
        <color rgb="FF000000"/>
        <rFont val="Aptos Narrow"/>
        <family val="2"/>
      </rPr>
      <t xml:space="preserve">
</t>
    </r>
    <r>
      <rPr>
        <b/>
        <sz val="14"/>
        <color indexed="8"/>
        <rFont val="Aptos Narrow"/>
        <family val="2"/>
      </rPr>
      <t xml:space="preserve">
</t>
    </r>
    <r>
      <rPr>
        <sz val="14"/>
        <color theme="1"/>
        <rFont val="Aptos Narrow"/>
        <family val="2"/>
      </rPr>
      <t>Los requisitos que deben cumplir los beneficiarios/destinatarios de las ayudas no quedan claros o son ambiguos para una correcta y exacta interpretación, lo cual puede derivar en que potenciales beneficiarios opten por no presentarse a la convocatoria, o bien derive en la selección deliberada de un determinado beneficiario.</t>
    </r>
  </si>
  <si>
    <r>
      <t xml:space="preserve">No se han respetado los plazos establecidos en las bases reguladoras/ convocatoria para la presentación de solicitudes.
</t>
    </r>
    <r>
      <rPr>
        <u/>
        <sz val="14"/>
        <color indexed="8"/>
        <rFont val="Aptos Narrow"/>
        <family val="2"/>
      </rPr>
      <t>Descripción detallada:</t>
    </r>
    <r>
      <rPr>
        <b/>
        <sz val="14"/>
        <color indexed="8"/>
        <rFont val="Aptos Narrow"/>
        <family val="2"/>
      </rPr>
      <t xml:space="preserve">
</t>
    </r>
    <r>
      <rPr>
        <sz val="14"/>
        <color theme="1"/>
        <rFont val="Aptos Narrow"/>
        <family val="2"/>
      </rPr>
      <t>Rechazo o inadmisión de una solicitud de ayuda por supuesta entrega de esta fuera plazo cuando de forma efectiva ha sido presentada en plazo, o bien aceptación de una o varias solicitudes presentadas fuera de plazo. En tales casos, los plazos establecidos en las bases reguladoras/convocatoria no se han cumplido en lo relativo a la presentación de las solicitudes.</t>
    </r>
  </si>
  <si>
    <r>
      <t xml:space="preserve">En el caso de subvenciones concedidas en base a baremos se produce la ausencia de publicación de los mismos en Boletines Oficiales correspondientes.
</t>
    </r>
    <r>
      <rPr>
        <u/>
        <sz val="14"/>
        <color indexed="8"/>
        <rFont val="Aptos Narrow"/>
        <family val="2"/>
      </rPr>
      <t>Descripción detallada:</t>
    </r>
    <r>
      <rPr>
        <b/>
        <sz val="14"/>
        <color indexed="8"/>
        <rFont val="Aptos Narrow"/>
        <family val="2"/>
      </rPr>
      <t xml:space="preserve">
</t>
    </r>
    <r>
      <rPr>
        <sz val="14"/>
        <color theme="1"/>
        <rFont val="Aptos Narrow"/>
        <family val="2"/>
      </rPr>
      <t>En las publicaciones de las bases reguladoras de las convocatorias de las ayudas no se incluyen los baremos para valorar las diferentes solicitudes, incurriendo en una falta de objetividad y transparencia en la prelación de solicitudes.</t>
    </r>
  </si>
  <si>
    <r>
      <t xml:space="preserve">El beneficiario/destinatario de las ayudas incumple la obligación de garantizar la concurrencia en caso de que necesite negociar con proveedores.
</t>
    </r>
    <r>
      <rPr>
        <u/>
        <sz val="14"/>
        <color indexed="8"/>
        <rFont val="Aptos Narrow"/>
        <family val="2"/>
      </rPr>
      <t>Descripción detallada:</t>
    </r>
    <r>
      <rPr>
        <b/>
        <sz val="14"/>
        <color indexed="8"/>
        <rFont val="Aptos Narrow"/>
        <family val="2"/>
      </rPr>
      <t xml:space="preserve">
</t>
    </r>
    <r>
      <rPr>
        <sz val="14"/>
        <color theme="1"/>
        <rFont val="Aptos Narrow"/>
        <family val="2"/>
      </rPr>
      <t>El beneficiario/destinatario de la ayuda o subvención que, en su caso, desee negociar o contratar a proveedores, no garantiza la elección de estos a través de un proceso de concurrencia competitiva. 
Según el procedimiento establecido al efecto en el artículo 31.3 de la Ley General de Subvenciones, cuando el importe del gasto subvencionable supere la cuantía del contrato menor, según la normativa de contratación pública, el beneficiario deberá solicitar como mínimo tres ofertas de diferentes proveedores. En este caso, el riesgo también puede materializarse cuando los proveedores sean personas o entidades vinculadas con el beneficiario, según lo establecido en el artículo 29.7 de la Ley General de Subvenciones.</t>
    </r>
  </si>
  <si>
    <r>
      <t xml:space="preserve">Se incumplen los principios de objetividad, igualdad y no discriminación en la selección de beneficiarios.
</t>
    </r>
    <r>
      <rPr>
        <u/>
        <sz val="14"/>
        <color indexed="8"/>
        <rFont val="Aptos Narrow"/>
        <family val="2"/>
      </rPr>
      <t>Descripción detallada</t>
    </r>
    <r>
      <rPr>
        <sz val="14"/>
        <color theme="1"/>
        <rFont val="Aptos Narrow"/>
        <family val="2"/>
      </rPr>
      <t>:
El organismo otorgante no sigue un criterio homogéneo para la selección de beneficiarios en los procedimientos de concesión de subvenciones en régimen de concurrencia competitiva, no recibiendo aquellos el mismo tratamiento y produciéndose, por tanto, un incumplimiento del procedimiento competitivo.</t>
    </r>
  </si>
  <si>
    <r>
      <t xml:space="preserve">Documentación falsificada presentada por los solicitantes al objeto de salir elegidos en un proceso de selección.
</t>
    </r>
    <r>
      <rPr>
        <u/>
        <sz val="14"/>
        <color theme="1"/>
        <rFont val="Aptos Narrow"/>
        <family val="2"/>
      </rPr>
      <t xml:space="preserve">
Descripción detallada:
</t>
    </r>
    <r>
      <rPr>
        <sz val="14"/>
        <color theme="1"/>
        <rFont val="Aptos Narrow"/>
        <family val="2"/>
      </rPr>
      <t>Los solicitantes presentan declaraciones falsas en sus solicitudes, haciendo creer al Comité de Evaluación que cumplen con los criterios de elegibilidad, generales y específicos. La falsificación puede versar sobre cualquier documentación requerida en la solicitud para la obtención de la ayuda: declaraciones firmadas, información financiera, compromisos, etc.</t>
    </r>
  </si>
  <si>
    <r>
      <t xml:space="preserve">Influencia deliberada en la evaluación y selección de los beneficiarios.
</t>
    </r>
    <r>
      <rPr>
        <u/>
        <sz val="14"/>
        <color indexed="8"/>
        <rFont val="Aptos Narrow"/>
        <family val="2"/>
      </rPr>
      <t xml:space="preserve">Descripción detallada:
</t>
    </r>
    <r>
      <rPr>
        <sz val="14"/>
        <color rgb="FF000000"/>
        <rFont val="Aptos Narrow"/>
        <family val="2"/>
      </rPr>
      <t>Los miembros del comité de evaluación influyen deliberadamente sobre la evaluación y selección de los solicitantes a fin de favorecer a alguno de ellos, dando un trato preferente a su solicitud durante la evaluación, o bien presionando a otros miembros del Comité.</t>
    </r>
  </si>
  <si>
    <r>
      <t xml:space="preserve">Las operaciones financiadas constituyen ayudas de estado y no se ha seguido el procedimiento de información y notificación establecido al efecto por la normativa europea.
</t>
    </r>
    <r>
      <rPr>
        <u/>
        <sz val="14"/>
        <color indexed="8"/>
        <rFont val="Aptos Narrow"/>
        <family val="2"/>
      </rPr>
      <t xml:space="preserve">Descripción detallada:
</t>
    </r>
    <r>
      <rPr>
        <sz val="14"/>
        <color theme="1"/>
        <rFont val="Aptos Narrow"/>
        <family val="2"/>
      </rPr>
      <t>El organismo no ha comprobado que la ayuda pueda constituir ayuda de estado, según la normativa de la UE aplicable y no ha seguido el procedimiento de comunicación y notificación a la Comisión Europea (en el caso de minimis no es necesario comunicar las ayudas a la Comisión).</t>
    </r>
  </si>
  <si>
    <r>
      <t xml:space="preserve">Los fondos no han sido destinados a la finalidad establecida en la normativa reguladora de la subvención por parte del beneficiario.
</t>
    </r>
    <r>
      <rPr>
        <u/>
        <sz val="14"/>
        <color indexed="8"/>
        <rFont val="Aptos Narrow"/>
        <family val="2"/>
      </rPr>
      <t>Descripción detallada:</t>
    </r>
    <r>
      <rPr>
        <sz val="14"/>
        <color theme="1"/>
        <rFont val="Aptos Narrow"/>
        <family val="2"/>
      </rPr>
      <t xml:space="preserve">
Los fondos de la subvención no se han destinado a la finalidad u objetivos recogidos en las bases reguladoras/convocatoria o no han sido ejecutados.</t>
    </r>
  </si>
  <si>
    <r>
      <t xml:space="preserve">Se produce un exceso en la cofinanciación de las operaciones.
</t>
    </r>
    <r>
      <rPr>
        <u/>
        <sz val="14"/>
        <color indexed="8"/>
        <rFont val="Aptos Narrow"/>
        <family val="2"/>
      </rPr>
      <t xml:space="preserve">Descripción detallada:
</t>
    </r>
    <r>
      <rPr>
        <sz val="14"/>
        <color theme="1"/>
        <rFont val="Aptos Narrow"/>
        <family val="2"/>
      </rPr>
      <t xml:space="preserve">
El beneficiario recibe ayudas provenientes de distintos organismos y se está produciendo un lucro o un exceso de cofinanciación. En este sentido, los beneficiarios no pueden recibir más financiación de lo que han gastado en cada operación. Esta bandera roja suele tener lugar cuando la cofinanciación se realiza mediante la recepción de importes fijos en vez de en porcentajes del gasto, conllevando un mayor riesgo de que se produzca un exceso en la cofinanciación.</t>
    </r>
  </si>
  <si>
    <r>
      <t xml:space="preserve">Existen varios cofinanciadores que financian la misma operación.
</t>
    </r>
    <r>
      <rPr>
        <u/>
        <sz val="14"/>
        <color indexed="8"/>
        <rFont val="Aptos Narrow"/>
        <family val="2"/>
      </rPr>
      <t xml:space="preserve">Descripción detallada:
</t>
    </r>
    <r>
      <rPr>
        <sz val="14"/>
        <color theme="1"/>
        <rFont val="Aptos Narrow"/>
        <family val="2"/>
      </rPr>
      <t xml:space="preserve">
Las convocatorias de las ayudas deben definir la compatibilidad o incompatibilidad de las ayudas con otro tipo de financiación que provenga de otros Fondos Europeos o de fuentes nacionales o autonómicas. En este caso, existe el riesgo de incumplimiento de la prohibición de doble financiación.</t>
    </r>
  </si>
  <si>
    <r>
      <t xml:space="preserve">No existe documentación soporte de las aportaciones realizadas por terceros (convenios, donaciones, aportaciones dinerarias de otra naturaleza, etc.).
</t>
    </r>
    <r>
      <rPr>
        <u/>
        <sz val="14"/>
        <color indexed="8"/>
        <rFont val="Aptos Narrow"/>
        <family val="2"/>
      </rPr>
      <t>Descripción detallada:</t>
    </r>
    <r>
      <rPr>
        <sz val="14"/>
        <color theme="1"/>
        <rFont val="Aptos Narrow"/>
        <family val="2"/>
      </rPr>
      <t xml:space="preserve">
No existe documentación soporte de las aportaciones realizadas por terceros cuando, según lo establecido en las disposiciones reglamentarias de los Fondos Europeos, de cada aportación para la cofinanciación debe existir documentación.</t>
    </r>
  </si>
  <si>
    <r>
      <t xml:space="preserve">La financiación aportada por terceros no es finalista y no existe un criterio de reparto de la misma.
</t>
    </r>
    <r>
      <rPr>
        <u/>
        <sz val="14"/>
        <color indexed="8"/>
        <rFont val="Aptos Narrow"/>
        <family val="2"/>
      </rPr>
      <t xml:space="preserve">Descripción detallada:
</t>
    </r>
    <r>
      <rPr>
        <sz val="14"/>
        <color theme="1"/>
        <rFont val="Aptos Narrow"/>
        <family val="2"/>
      </rPr>
      <t>Cuando en el convenio o acuerdo de financiación de terceros no se señala específicamente que las cuantías financiadas se destinan a operaciones del Fondo Social Europeo Plus. La bandera roja también puede tener lugar cuando la cofinanciación se destina a otro fin distinto al objeto de la convocatoria.</t>
    </r>
  </si>
  <si>
    <r>
      <t xml:space="preserve">Inexistencia de un control de los gastos e ingresos por operación por parte del beneficiario.
</t>
    </r>
    <r>
      <rPr>
        <u/>
        <sz val="14"/>
        <color indexed="8"/>
        <rFont val="Aptos Narrow"/>
        <family val="2"/>
      </rPr>
      <t xml:space="preserve">Descripción detallada:
</t>
    </r>
    <r>
      <rPr>
        <sz val="14"/>
        <color theme="1"/>
        <rFont val="Aptos Narrow"/>
        <family val="2"/>
      </rPr>
      <t xml:space="preserve">
No existe contabilidad analítica de forma que se pueda llevar un control documentado de gastos e ingresos por tipo de operación, tipo de proyecto, o fuente de financiación.</t>
    </r>
  </si>
  <si>
    <r>
      <t xml:space="preserve">Incumplimiento de los deberes de información y comunicación del apoyo del FSE+ a las operaciones cofinanciadas.
</t>
    </r>
    <r>
      <rPr>
        <u/>
        <sz val="14"/>
        <color indexed="8"/>
        <rFont val="Aptos Narrow"/>
        <family val="2"/>
      </rPr>
      <t xml:space="preserve">Descripción detallada:
</t>
    </r>
    <r>
      <rPr>
        <b/>
        <sz val="14"/>
        <color indexed="8"/>
        <rFont val="Aptos Narrow"/>
        <family val="2"/>
      </rPr>
      <t xml:space="preserve">
</t>
    </r>
    <r>
      <rPr>
        <sz val="14"/>
        <color theme="1"/>
        <rFont val="Aptos Narrow"/>
        <family val="2"/>
      </rPr>
      <t>Tanto el organismo que realiza una convocatoria como los destinatarios finales están compelidos a informar y difundir que dichas ayudas u operaciones están financiadas con cargo al FSE+, y deben cumplir lo establecido en las disposiciones europeas al respecto (artículos 46, 47 y 50 del RDC).</t>
    </r>
  </si>
  <si>
    <r>
      <t xml:space="preserve">El organismo no ha realizado una correcta documentación de la operación que permita garantizar la pista de auditoría.
</t>
    </r>
    <r>
      <rPr>
        <u/>
        <sz val="14"/>
        <color indexed="8"/>
        <rFont val="Aptos Narrow"/>
        <family val="2"/>
      </rPr>
      <t>Descripción detallada:</t>
    </r>
    <r>
      <rPr>
        <sz val="14"/>
        <color theme="1"/>
        <rFont val="Aptos Narrow"/>
        <family val="2"/>
      </rPr>
      <t xml:space="preserve">
En el expediente de la operación no quedan documentados los procesos que permiten garantizar la pista de auditoría (por ejemplo: procesos de gastos, procesos de pagos, procesos de contabilidad, de publicidad y de ejecución, entre otros).  </t>
    </r>
  </si>
  <si>
    <r>
      <t xml:space="preserve">No se establece con precisión el método de cálculo de costes que debe aplicarse en las operaciones.
</t>
    </r>
    <r>
      <rPr>
        <u/>
        <sz val="14"/>
        <color indexed="8"/>
        <rFont val="Aptos Narrow"/>
        <family val="2"/>
      </rPr>
      <t>Descripción detallada:</t>
    </r>
    <r>
      <rPr>
        <sz val="14"/>
        <color theme="1"/>
        <rFont val="Aptos Narrow"/>
        <family val="2"/>
      </rPr>
      <t xml:space="preserve">
El organismo no ha establecido de forma clara en las bases reguladoras/convocatoria el método de cálculo de costes que aplicar a la operación de acuerdo con lo establecido en los artículos 53 y siguientes del RDC. </t>
    </r>
  </si>
  <si>
    <r>
      <t xml:space="preserve">El organismo no ha realizado una correcta revisión de la justificación de la ayuda.
</t>
    </r>
    <r>
      <rPr>
        <u/>
        <sz val="14"/>
        <color indexed="8"/>
        <rFont val="Aptos Narrow"/>
        <family val="2"/>
      </rPr>
      <t>Descripción detallada:</t>
    </r>
    <r>
      <rPr>
        <sz val="14"/>
        <color theme="1"/>
        <rFont val="Aptos Narrow"/>
        <family val="2"/>
      </rPr>
      <t xml:space="preserve">
El órgano concedente no revisa de forma adecuada la justificación de la subvención incumpliendo lo establecido en el artículo 3.1 de la Ley General de Subvenciones y/o en los manuales de justificación de la operación en cuestión.</t>
    </r>
  </si>
  <si>
    <r>
      <t xml:space="preserve">En relación con la bandera roja: 
- </t>
    </r>
    <r>
      <rPr>
        <u/>
        <sz val="14"/>
        <color indexed="8"/>
        <rFont val="Aptos Narrow"/>
        <family val="2"/>
      </rPr>
      <t xml:space="preserve">En el caso de ser la </t>
    </r>
    <r>
      <rPr>
        <b/>
        <u/>
        <sz val="14"/>
        <color indexed="8"/>
        <rFont val="Aptos Narrow"/>
        <family val="2"/>
      </rPr>
      <t>primera vez que cumplimenta la matriz ex ante</t>
    </r>
    <r>
      <rPr>
        <sz val="14"/>
        <color theme="1"/>
        <rFont val="Aptos Narrow"/>
        <family val="2"/>
      </rPr>
      <t xml:space="preserve">: ¿la entidad ha detectado de forma interna errores o incidencias en el pasado, haya sido o no haya sido Organismo Intermedio del Fondo Social Europeo? 
- </t>
    </r>
    <r>
      <rPr>
        <u/>
        <sz val="14"/>
        <color indexed="8"/>
        <rFont val="Aptos Narrow"/>
        <family val="2"/>
      </rPr>
      <t xml:space="preserve">En el caso de ser una </t>
    </r>
    <r>
      <rPr>
        <b/>
        <u/>
        <sz val="14"/>
        <color indexed="8"/>
        <rFont val="Aptos Narrow"/>
        <family val="2"/>
      </rPr>
      <t>revisión de la matriz ex ante</t>
    </r>
    <r>
      <rPr>
        <sz val="14"/>
        <color theme="1"/>
        <rFont val="Aptos Narrow"/>
        <family val="2"/>
      </rPr>
      <t>: ¿la bandera roja se ha materializado en al menos una ocasión y, por tanto, así se ha indicado en la matriz ex post correspondiente?</t>
    </r>
  </si>
  <si>
    <t>RIESGOS (R)</t>
  </si>
  <si>
    <t>COEFICIENTE RIESGO EX ANTE ASOCIADO A SUBVENCIONES</t>
  </si>
  <si>
    <t>Probabilidad de Suceso (5%-90 %)</t>
  </si>
  <si>
    <t>Categorización del Riesgo</t>
  </si>
  <si>
    <t>Probabilidad de Suceso</t>
  </si>
  <si>
    <t>Impacto del Riesgo</t>
  </si>
  <si>
    <r>
      <t xml:space="preserve">Los pliegos de cláusulas de prescripciones técnicas y/o administrativas se han redactado a favor de un licitador. 
</t>
    </r>
    <r>
      <rPr>
        <u/>
        <sz val="14"/>
        <color theme="1"/>
        <rFont val="Aptos Narrow"/>
        <family val="2"/>
      </rPr>
      <t>Descripción detallada:</t>
    </r>
    <r>
      <rPr>
        <b/>
        <sz val="14"/>
        <color theme="1"/>
        <rFont val="Aptos Narrow"/>
        <family val="2"/>
      </rPr>
      <t xml:space="preserve">
</t>
    </r>
    <r>
      <rPr>
        <sz val="14"/>
        <color theme="1"/>
        <rFont val="Aptos Narrow"/>
        <family val="2"/>
      </rPr>
      <t>Esta situación se puede materializar, por ejemplo, en el caso en el que objeto del contrato haga referencia a marcas comerciales concretas y no se incorporen posibles marcas alternativas, se describa de forma que solo pueda licitar un número muy reducido de licitadores o se limite la participación por factores como número de empleados, volumen de facturación o estados financieros, sin que en ningún caso resulte imprescindible para la buena ejecución del contrato. Este hecho limita la concurrencia y dificulta que el procedimiento resulte competitivo.</t>
    </r>
  </si>
  <si>
    <r>
      <t xml:space="preserve">Los pliegos presentan prescripciones más restrictivas que las aprobadas en procedimientos previos similares.
</t>
    </r>
    <r>
      <rPr>
        <u/>
        <sz val="14"/>
        <color rgb="FF000000"/>
        <rFont val="Aptos Narrow"/>
        <family val="2"/>
      </rPr>
      <t>Descripción detallada:</t>
    </r>
    <r>
      <rPr>
        <b/>
        <u/>
        <sz val="14"/>
        <color rgb="FF000000"/>
        <rFont val="Aptos Narrow"/>
        <family val="2"/>
      </rPr>
      <t xml:space="preserve">
</t>
    </r>
    <r>
      <rPr>
        <b/>
        <sz val="14"/>
        <color indexed="8"/>
        <rFont val="Aptos Narrow"/>
        <family val="2"/>
      </rPr>
      <t xml:space="preserve">
</t>
    </r>
    <r>
      <rPr>
        <sz val="14"/>
        <color theme="1"/>
        <rFont val="Aptos Narrow"/>
        <family val="2"/>
      </rPr>
      <t>La materialización de esa situación se produce en el caso en el que se endurecen los requisitos, restringiendo la concurrencia, en un procedimiento de carácter similar a procedimientos anteriores. Ejemplo: elevar los requisitos financieros, establecer un determinado volumen de facturación exigido, reducir la franja de número de empleados, etc. con respecto a lo establecido en procedimientos de similares características.</t>
    </r>
  </si>
  <si>
    <r>
      <t xml:space="preserve">Presentación de una única oferta o número anormalmente bajo de proposiciones optando a la licitación según el tipo de procedimiento de contratación.
</t>
    </r>
    <r>
      <rPr>
        <u/>
        <sz val="14"/>
        <color indexed="8"/>
        <rFont val="Aptos Narrow"/>
        <family val="2"/>
      </rPr>
      <t>Descripción detallada:</t>
    </r>
    <r>
      <rPr>
        <b/>
        <sz val="14"/>
        <color indexed="8"/>
        <rFont val="Aptos Narrow"/>
        <family val="2"/>
      </rPr>
      <t xml:space="preserve">
</t>
    </r>
    <r>
      <rPr>
        <sz val="14"/>
        <color theme="1"/>
        <rFont val="Aptos Narrow"/>
        <family val="2"/>
      </rPr>
      <t>Se produce como consecuencia de que las especificaciones se han pactado con un licitador o como consecuencia del incumplimiento en los casos en que el procedimiento de contratación requiere, según la normativa aplicable al sector público, la solicitud de ofertas a un número mínimo de empresas capacitadas para la realización del objeto del contrato. Por ejemplo, en el procedimiento negociado, será necesario solicitar ofertas, al menos, a tres empresas capacitadas para la realización del objeto del contrato, siempre que ello sea posible.</t>
    </r>
  </si>
  <si>
    <r>
      <t xml:space="preserve">El procedimiento de contratación se declara desierto y vuelve a convocarse a pesar de que se recibieron ofertas admisibles de acuerdo con los criterios que figuran en los pliegos.
</t>
    </r>
    <r>
      <rPr>
        <u/>
        <sz val="14"/>
        <color indexed="8"/>
        <rFont val="Aptos Narrow"/>
        <family val="2"/>
      </rPr>
      <t>Descripción detallada:</t>
    </r>
    <r>
      <rPr>
        <b/>
        <sz val="14"/>
        <color indexed="8"/>
        <rFont val="Aptos Narrow"/>
        <family val="2"/>
      </rPr>
      <t xml:space="preserve">
</t>
    </r>
    <r>
      <rPr>
        <sz val="14"/>
        <color theme="1"/>
        <rFont val="Aptos Narrow"/>
        <family val="2"/>
      </rPr>
      <t>Se declara desierto un procedimiento, a pesar de que existen ofertas que cumplen los criterios para ser admitidas en el procedimiento, y se vuelve a convocar restringiendo los requisitos a efectos de beneficiar a un licitador en concreto.</t>
    </r>
  </si>
  <si>
    <r>
      <t xml:space="preserve">Ausencia de medidas de información y publicidad en la documentación relativa al procedimiento de contratación y/o insuficiencia de plazos para la recepción de ofertas.
</t>
    </r>
    <r>
      <rPr>
        <u/>
        <sz val="14"/>
        <color indexed="8"/>
        <rFont val="Aptos Narrow"/>
        <family val="2"/>
      </rPr>
      <t xml:space="preserve">Descripción detallada:
</t>
    </r>
    <r>
      <rPr>
        <b/>
        <sz val="14"/>
        <color indexed="8"/>
        <rFont val="Aptos Narrow"/>
        <family val="2"/>
      </rPr>
      <t xml:space="preserve">
</t>
    </r>
    <r>
      <rPr>
        <sz val="14"/>
        <color rgb="FF000000"/>
        <rFont val="Aptos Narrow"/>
        <family val="2"/>
      </rPr>
      <t xml:space="preserve">Se produce cuando el procedimiento no cumple con los requisitos de información y publicidad mínimos requeridos para el anuncio de licitación establecidos en la normativa aplicable, requisitos que tienen como finalidad asegurar la transparencia y el acceso público a la información. En este sentido, se produce una falta de transparencia o publicidad cuando en los pliegos no se determinan con exactitud los plazos para la presentación de proposiciones, o se fijan unos plazos excesivamente reducidos que puedan conllevar la limitación de la concurrencia. </t>
    </r>
  </si>
  <si>
    <r>
      <t xml:space="preserve">Reclamaciones de otros ofertantes.
</t>
    </r>
    <r>
      <rPr>
        <u/>
        <sz val="14"/>
        <color indexed="8"/>
        <rFont val="Aptos Narrow"/>
        <family val="2"/>
      </rPr>
      <t>Descripción detallada:</t>
    </r>
    <r>
      <rPr>
        <b/>
        <sz val="14"/>
        <color indexed="8"/>
        <rFont val="Aptos Narrow"/>
        <family val="2"/>
      </rPr>
      <t xml:space="preserve">
</t>
    </r>
    <r>
      <rPr>
        <sz val="14"/>
        <color theme="1"/>
        <rFont val="Aptos Narrow"/>
        <family val="2"/>
      </rPr>
      <t xml:space="preserve">Se producen reclamaciones o quejas por escrito referidas a la limitación de la concurrencia en el procedimiento de contratación.  </t>
    </r>
  </si>
  <si>
    <r>
      <t xml:space="preserve">Elección de tramitación abreviada, urgencia o emergencia, o procedimientos de contratación menos competitivos de forma usual y sin justificación razonable.
</t>
    </r>
    <r>
      <rPr>
        <u/>
        <sz val="14"/>
        <color indexed="8"/>
        <rFont val="Aptos Narrow"/>
        <family val="2"/>
      </rPr>
      <t>Descripción detallada:</t>
    </r>
    <r>
      <rPr>
        <b/>
        <sz val="14"/>
        <color indexed="8"/>
        <rFont val="Aptos Narrow"/>
        <family val="2"/>
      </rPr>
      <t xml:space="preserve">
</t>
    </r>
    <r>
      <rPr>
        <sz val="14"/>
        <color theme="1"/>
        <rFont val="Aptos Narrow"/>
        <family val="2"/>
      </rPr>
      <t xml:space="preserve">Utilización de modalidades de tramitación de expedientes de contratación que permiten reducir plazos o publicidad con el fin de evitar la concurrencia sin que estén adecuadamente justificado, no garantizándose los principios de no discriminación, igualdad de trato y transparencia. </t>
    </r>
  </si>
  <si>
    <r>
      <t xml:space="preserve">Posibles acuerdos entre los licitadores en complicidad con empresas interrelacionadas y/o vinculadas o mediante la introducción de "proveedores fantasmas". 
</t>
    </r>
    <r>
      <rPr>
        <u/>
        <sz val="14"/>
        <color indexed="8"/>
        <rFont val="Aptos Narrow"/>
        <family val="2"/>
      </rPr>
      <t>Descripción detallada</t>
    </r>
    <r>
      <rPr>
        <sz val="14"/>
        <color theme="1"/>
        <rFont val="Aptos Narrow"/>
        <family val="2"/>
      </rPr>
      <t>:
Este tipo de prácticas colusorias se producen cuando, con el objeto de conseguir la adjudicación de un contrato, los licitadores manipulan el procedimiento de contratación mediante acuerdos colusorios con otros ofertantes que presentan o no vinculación empresarial o mediante la simulación de falsos licitadores. Por ejemplo, se presentan diversas ofertas por parte de diferentes entidades que presentan vinculación empresarial o se presentan ofertas fantasmas que no proporcionan la calidad suficiente y existe la duda de que su finalidad sea la obtención del contrato.</t>
    </r>
  </si>
  <si>
    <r>
      <t xml:space="preserve">Posibles acuerdos entre los licitadores en los precios ofertados en el procedimiento de contratación.
</t>
    </r>
    <r>
      <rPr>
        <u/>
        <sz val="14"/>
        <color indexed="8"/>
        <rFont val="Aptos Narrow"/>
        <family val="2"/>
      </rPr>
      <t>Descripción detallada</t>
    </r>
    <r>
      <rPr>
        <sz val="14"/>
        <color theme="1"/>
        <rFont val="Aptos Narrow"/>
        <family val="2"/>
      </rPr>
      <t>:
Los licitadores llegan a acuerdos para no ofrecer por debajo de un precio, con patrones de ofertas inusuales o similares: las ofertas tienen porcentajes exactos de rebaja, la oferta ganadora está muy próximo al umbral de precios establecidos en los pliegos, los precios son muy similares, etc.</t>
    </r>
  </si>
  <si>
    <r>
      <t xml:space="preserve">Posibles acuerdos entre los licitadores para el reparto del mercado.
</t>
    </r>
    <r>
      <rPr>
        <u/>
        <sz val="14"/>
        <color indexed="8"/>
        <rFont val="Aptos Narrow"/>
        <family val="2"/>
      </rPr>
      <t>Descripción detallada</t>
    </r>
    <r>
      <rPr>
        <sz val="14"/>
        <color theme="1"/>
        <rFont val="Aptos Narrow"/>
        <family val="2"/>
      </rPr>
      <t>:
Los licitadores se reparten el mercado reduciendo la competencia, por ejemplo, por región, tipo de trabajo, tipo de obra.</t>
    </r>
  </si>
  <si>
    <r>
      <t xml:space="preserve">El adjudicatario subcontrata a otros licitadores que han participado en el procedimiento de contratación.
</t>
    </r>
    <r>
      <rPr>
        <u/>
        <sz val="14"/>
        <color indexed="8"/>
        <rFont val="Aptos Narrow"/>
        <family val="2"/>
      </rPr>
      <t>Descripción detallada</t>
    </r>
    <r>
      <rPr>
        <sz val="14"/>
        <color theme="1"/>
        <rFont val="Aptos Narrow"/>
        <family val="2"/>
      </rPr>
      <t>:
Un licitador que no ha resultado adjudicatario ejecuta la parte principal del contrato siendo subcontratado por el adjudicatario, esquivando los límites de subcontratación establecidos, considerando además que el citado licitador no cumplía previamente la solvencia técnica y/o administrativa requerida.</t>
    </r>
  </si>
  <si>
    <r>
      <t xml:space="preserve">Documentación falsificada presentada por los licitadores en el proceso de selección de ofertas.
</t>
    </r>
    <r>
      <rPr>
        <u/>
        <sz val="14"/>
        <color theme="1"/>
        <rFont val="Aptos Narrow"/>
        <family val="2"/>
      </rPr>
      <t xml:space="preserve">Descripción detallada:
</t>
    </r>
    <r>
      <rPr>
        <sz val="14"/>
        <color theme="1"/>
        <rFont val="Aptos Narrow"/>
        <family val="2"/>
      </rPr>
      <t>El licitador presenta documentación e información falsa para poder acceder al procedimiento de contratación.</t>
    </r>
  </si>
  <si>
    <r>
      <t xml:space="preserve">Comportamiento inusual por parte de un empleado que insiste en obtener información sobre el procedimiento de licitación sin estar a cargo del procedimiento.
</t>
    </r>
    <r>
      <rPr>
        <u/>
        <sz val="14"/>
        <color indexed="8"/>
        <rFont val="Aptos Narrow"/>
        <family val="2"/>
      </rPr>
      <t xml:space="preserve">Descripción detallada:
</t>
    </r>
    <r>
      <rPr>
        <sz val="14"/>
        <color theme="1"/>
        <rFont val="Aptos Narrow"/>
        <family val="2"/>
      </rPr>
      <t>Cuando un empleado que no forma parte de los equipos encargados del procedimiento de licitación se interesa fuertemente por conseguir información que puede alterar el devenir del concurso o favorecer a algún contratista en particular. Puede darse el caso en que tenga también vinculación con proveedores de algún potencial contratista.</t>
    </r>
  </si>
  <si>
    <r>
      <t xml:space="preserve">Un empleado del órgano de contratación que haya trabajado para una empresa participa en el concurso de forma inmediatamente anterior a su incorporación al puesto de trabajo en el organismo adjudicador.
</t>
    </r>
    <r>
      <rPr>
        <u/>
        <sz val="14"/>
        <color indexed="8"/>
        <rFont val="Aptos Narrow"/>
        <family val="2"/>
      </rPr>
      <t xml:space="preserve">Descripción detallada:
</t>
    </r>
    <r>
      <rPr>
        <sz val="14"/>
        <color theme="1"/>
        <rFont val="Aptos Narrow"/>
        <family val="2"/>
      </rPr>
      <t>Cuando un empleado del órgano de contratación ha trabajado para una empresa que puede presentarse a un procedimiento de contratación de manera inmediatamente anterior, pueden surgir conflictos de interés o manipulaciones dentro del procedimiento a favor o en contra de dicha empresa potencial de ser el contratista ganador.</t>
    </r>
  </si>
  <si>
    <r>
      <t xml:space="preserve">Vinculación familiar entre un empleado del órgano de contratación y una persona con capacidad de decisión o con influencia en la empresa licitadora.
</t>
    </r>
    <r>
      <rPr>
        <u/>
        <sz val="14"/>
        <color indexed="8"/>
        <rFont val="Aptos Narrow"/>
        <family val="2"/>
      </rPr>
      <t xml:space="preserve">Descripción detallada:
</t>
    </r>
    <r>
      <rPr>
        <sz val="14"/>
        <color theme="1"/>
        <rFont val="Aptos Narrow"/>
        <family val="2"/>
      </rPr>
      <t>Esta vinculación juega a favor de la adjudicación del contrato objeto de valoración.</t>
    </r>
  </si>
  <si>
    <r>
      <t xml:space="preserve">Reiteración de adjudicaciones a favor de un mismo licitador.
</t>
    </r>
    <r>
      <rPr>
        <u/>
        <sz val="14"/>
        <color indexed="8"/>
        <rFont val="Aptos Narrow"/>
        <family val="2"/>
      </rPr>
      <t xml:space="preserve">Descripción detallada:
</t>
    </r>
    <r>
      <rPr>
        <sz val="14"/>
        <color theme="1"/>
        <rFont val="Aptos Narrow"/>
        <family val="2"/>
      </rPr>
      <t xml:space="preserve">El licitador obtiene los contratos gracias al favoritismo que recibe de manera injustificada por parte del organismo contratante, sin estar basada en los criterios de adjudicación establecidos en los pliegos. </t>
    </r>
  </si>
  <si>
    <r>
      <t xml:space="preserve">Aceptación continuada de ofertas con precios elevados y/o trabajo de calidad insuficiente.
</t>
    </r>
    <r>
      <rPr>
        <u/>
        <sz val="14"/>
        <color indexed="8"/>
        <rFont val="Aptos Narrow"/>
        <family val="2"/>
      </rPr>
      <t xml:space="preserve">Descripción detallada:
</t>
    </r>
    <r>
      <rPr>
        <sz val="14"/>
        <color theme="1"/>
        <rFont val="Aptos Narrow"/>
        <family val="2"/>
      </rPr>
      <t>Se adjudican de manera continuada los contratos a licitadores cuyas ofertas económicas son elevadas con respecto al resto de las ofertas presentadas y/o con contraprestaciones que no se ajusta a la calidad demandada en los pliegos de prescripciones técnicas; o bien la oferta ganadora es demasiado alta en comparación con el resto de los licitadores. Estas adjudicaciones pueden verse sujetas a casos de conflictos de interés por parte de algún miembro del organismo contratante, como es el caso de un licitador que conoce de antemano que va a resultar adjudicatario y ofrece un precio alto dentro del límite establecido en el procedimiento de contratación.</t>
    </r>
  </si>
  <si>
    <r>
      <t xml:space="preserve">Los miembros del órgano de contratación no cumplen con los procedimientos establecidos en el código de ética del organismo.
</t>
    </r>
    <r>
      <rPr>
        <u/>
        <sz val="14"/>
        <color indexed="8"/>
        <rFont val="Aptos Narrow"/>
        <family val="2"/>
      </rPr>
      <t xml:space="preserve">Descripción detallada:
</t>
    </r>
    <r>
      <rPr>
        <sz val="14"/>
        <color theme="1"/>
        <rFont val="Aptos Narrow"/>
        <family val="2"/>
      </rPr>
      <t>El órgano dispone de un código de ética cuyos procedimientos no son seguidos por los miembros del órgano de contratación (comunicación de posibles conflictos de interés, etc.).</t>
    </r>
  </si>
  <si>
    <r>
      <t xml:space="preserve">Empleado encargado de contratación declina ascenso a una posición en la que deja de tener que ver con adquisiciones.
</t>
    </r>
    <r>
      <rPr>
        <u/>
        <sz val="14"/>
        <color indexed="8"/>
        <rFont val="Aptos Narrow"/>
        <family val="2"/>
      </rPr>
      <t xml:space="preserve">Descripción detallada:
</t>
    </r>
    <r>
      <rPr>
        <sz val="14"/>
        <color theme="1"/>
        <rFont val="Aptos Narrow"/>
        <family val="2"/>
      </rPr>
      <t xml:space="preserve">Cuando sin causa justificada y razonable, el empleado encargado de la contratación declina un ascenso a una posición en la que deja de tener relación con adquisiciones. Esto puede deberse a que guarde algún tipo de vinculación u obtenga algún tipo de beneficio no declarado con algún potencial adjudicatario.  </t>
    </r>
  </si>
  <si>
    <r>
      <t xml:space="preserve">Indicios de que un miembro del órgano de contratación pudiera estar recibiendo contraprestaciones indebidas a cambio de favores relacionados con el procedimiento de contratación.
</t>
    </r>
    <r>
      <rPr>
        <u/>
        <sz val="14"/>
        <color indexed="8"/>
        <rFont val="Aptos Narrow"/>
        <family val="2"/>
      </rPr>
      <t xml:space="preserve">Descripción detallada:
</t>
    </r>
    <r>
      <rPr>
        <sz val="14"/>
        <color theme="1"/>
        <rFont val="Aptos Narrow"/>
        <family val="2"/>
      </rPr>
      <t>Cuando en breve espacio de tiempo y sin aparente razón justificada, un miembro del órgano encargado de la contratación tiene un aumento súbito de la riqueza o nivel de vida relacionado con actos a favor de determinados adjudicatarios.</t>
    </r>
  </si>
  <si>
    <r>
      <t xml:space="preserve">Socialización entre un empleado encargado de contratación y un proveedor de servicios o productos.
</t>
    </r>
    <r>
      <rPr>
        <u/>
        <sz val="14"/>
        <color indexed="8"/>
        <rFont val="Aptos Narrow"/>
        <family val="2"/>
      </rPr>
      <t xml:space="preserve">Descripción detallada:
</t>
    </r>
    <r>
      <rPr>
        <sz val="14"/>
        <color theme="1"/>
        <rFont val="Aptos Narrow"/>
        <family val="2"/>
      </rPr>
      <t>Se aprecia una socialización o estrecha relación entre un empleado de contratación y un proveedor de servicios o productos que puede tener intereses empresariales resultantes de los procedimientos de contratación.</t>
    </r>
  </si>
  <si>
    <r>
      <t xml:space="preserve">Comportamientos inusuales por parte de los miembros del órgano de contratación.
</t>
    </r>
    <r>
      <rPr>
        <u/>
        <sz val="14"/>
        <color indexed="8"/>
        <rFont val="Aptos Narrow"/>
        <family val="2"/>
      </rPr>
      <t xml:space="preserve">Descripción detallada:
</t>
    </r>
    <r>
      <rPr>
        <sz val="14"/>
        <color theme="1"/>
        <rFont val="Aptos Narrow"/>
        <family val="2"/>
      </rPr>
      <t>No se detalla en el expediente las razones sobre los retrasos o ausencia de documentos referentes a los contratos y el empleado se muestra reacio a justificar dichos casos. Esto puede ser debido a que exista algún tipo de conflicto de interés por parte de dicho empleado.</t>
    </r>
  </si>
  <si>
    <r>
      <t xml:space="preserve">Los criterios de adjudicación no se encuentran recogidos en los pliegos, no están suficientemente detallados o son discriminatorios, ilícitos o no son adecuados para seleccionar la oferta con una mejor calidad-precio.
</t>
    </r>
    <r>
      <rPr>
        <u/>
        <sz val="14"/>
        <color indexed="8"/>
        <rFont val="Aptos Narrow"/>
        <family val="2"/>
      </rPr>
      <t xml:space="preserve">Descripción detallada:
</t>
    </r>
    <r>
      <rPr>
        <sz val="14"/>
        <color theme="1"/>
        <rFont val="Aptos Narrow"/>
        <family val="2"/>
      </rPr>
      <t xml:space="preserve">
En los pliegos no se incluyen o están redactados de forma ambigua, poco clara, y/o abierta o directamente resultan discriminatorios o ilícitos, los criterios de adjudicación para valorar las ofertas para seleccionar a los licitadores, lo que produce ausencia de transparencia y objetividad en la selección del adjudicatario.</t>
    </r>
  </si>
  <si>
    <r>
      <t xml:space="preserve">Aceptación de oferta anómala o desproporcionada sin haber sido justificada adecuadamente por el licitador. 
</t>
    </r>
    <r>
      <rPr>
        <u/>
        <sz val="14"/>
        <color indexed="8"/>
        <rFont val="Aptos Narrow"/>
        <family val="2"/>
      </rPr>
      <t xml:space="preserve">Descripción detallada:
</t>
    </r>
    <r>
      <rPr>
        <sz val="14"/>
        <color theme="1"/>
        <rFont val="Aptos Narrow"/>
        <family val="2"/>
      </rPr>
      <t xml:space="preserve">
El adjudicatario ha presentado una oferta anormalmente baja, en comparación con las presentadas por el resto de los competidores y ha sido aceptada por el órgano de contratación sin justificación previa de la capacidad de llevar a cabo la prestación en tiempo y forma requeridos. También puede deberse a filtraciones de los precios ofertado por licitadores, ajustando su precio a las ofertas económicas filtradas.</t>
    </r>
  </si>
  <si>
    <r>
      <t xml:space="preserve">Ausencia y/o inadecuados procedimientos de control del procedimiento de contratación.
</t>
    </r>
    <r>
      <rPr>
        <u/>
        <sz val="14"/>
        <color indexed="8"/>
        <rFont val="Aptos Narrow"/>
        <family val="2"/>
      </rPr>
      <t xml:space="preserve">Descripción detallada:
</t>
    </r>
    <r>
      <rPr>
        <sz val="14"/>
        <color theme="1"/>
        <rFont val="Aptos Narrow"/>
        <family val="2"/>
      </rPr>
      <t xml:space="preserve">
No se llevan a cabo medidas de control para seguir el procedimiento de licitación de manera adecuada, dando lugar a posibles defectos en la selección de los candidatos. Por ejemplo, se produce la admisión de ofertas económicas sin haber descartado previamente a los licitadores que incumplen los requisitos técnicos y/o administrativos.</t>
    </r>
  </si>
  <si>
    <r>
      <t xml:space="preserve">Indicios de cambios en las ofertas después de su recepción.
</t>
    </r>
    <r>
      <rPr>
        <u/>
        <sz val="14"/>
        <color indexed="8"/>
        <rFont val="Aptos Narrow"/>
        <family val="2"/>
      </rPr>
      <t xml:space="preserve">Descripción detallada:
</t>
    </r>
    <r>
      <rPr>
        <sz val="14"/>
        <color theme="1"/>
        <rFont val="Aptos Narrow"/>
        <family val="2"/>
      </rPr>
      <t xml:space="preserve">
Se presentan indicios que sugieren que tras la recepción de las ofertas se ha producido una modificación en las mismas, bien en relación con el precio, bien en relación con otras condiciones recogidas en las mismas.</t>
    </r>
  </si>
  <si>
    <r>
      <t xml:space="preserve">Ofertas excluidas por errores o por razones dudosas.
</t>
    </r>
    <r>
      <rPr>
        <u/>
        <sz val="14"/>
        <color indexed="8"/>
        <rFont val="Aptos Narrow"/>
        <family val="2"/>
      </rPr>
      <t xml:space="preserve">Descripción detallada:
</t>
    </r>
    <r>
      <rPr>
        <sz val="14"/>
        <color theme="1"/>
        <rFont val="Aptos Narrow"/>
        <family val="2"/>
      </rPr>
      <t xml:space="preserve">
Ofertas que quedan excluidas por razones insuficientemente justificadas o por errores. Puede responder a intereses para la selección de un contratista en particular.</t>
    </r>
  </si>
  <si>
    <r>
      <t xml:space="preserve">Quejas de los licitadores.
</t>
    </r>
    <r>
      <rPr>
        <u/>
        <sz val="14"/>
        <color indexed="8"/>
        <rFont val="Aptos Narrow"/>
        <family val="2"/>
      </rPr>
      <t xml:space="preserve">Descripción detallada:
</t>
    </r>
    <r>
      <rPr>
        <sz val="14"/>
        <color theme="1"/>
        <rFont val="Aptos Narrow"/>
        <family val="2"/>
      </rPr>
      <t xml:space="preserve">
Se producen reclamaciones o quejas por escrito referidas a posibles manipulaciones de las ofertas presentadas.</t>
    </r>
  </si>
  <si>
    <r>
      <t xml:space="preserve">El contrato formalizado altera los términos de la adjudicación.
</t>
    </r>
    <r>
      <rPr>
        <u/>
        <sz val="14"/>
        <color indexed="8"/>
        <rFont val="Aptos Narrow"/>
        <family val="2"/>
      </rPr>
      <t>Descripción detallada:</t>
    </r>
    <r>
      <rPr>
        <sz val="14"/>
        <color theme="1"/>
        <rFont val="Aptos Narrow"/>
        <family val="2"/>
      </rPr>
      <t xml:space="preserve">
Los contratos deben formalizarse en documento administrativo que se ajuste con exactitud a las condiciones de la licitación y en ningún caso se podrán incluir en el documento en que se formalice el contrato cláusulas que impliquen alteración de los términos de la adjudicación. Como ejemplos de alteraciones pueden citarse los siguientes: minoración de las cláusulas contractuales estándar y/o las establecidas en la adjudicación del contrato, cambios sustanciales en las especificaciones técnicas o en el pliego de condiciones administrativas, diferencias entre los requisitos de calidad, cantidad o especificaciones de los bienes y servicios del contrato y los requisitos relativos a los mismos aspectos en los pliegos de la convocatoria, etc.</t>
    </r>
  </si>
  <si>
    <r>
      <t xml:space="preserve">Falta de coincidencia entre el adjudicatario y el firmante del contrato.
</t>
    </r>
    <r>
      <rPr>
        <u/>
        <sz val="14"/>
        <color indexed="8"/>
        <rFont val="Aptos Narrow"/>
        <family val="2"/>
      </rPr>
      <t xml:space="preserve">Descripción detallada:
</t>
    </r>
    <r>
      <rPr>
        <sz val="14"/>
        <color theme="1"/>
        <rFont val="Aptos Narrow"/>
        <family val="2"/>
      </rPr>
      <t xml:space="preserve">
Se produce una ausencia de coincidencia entre el adjudicatario y el firmante del contrato en términos de denominación social, personalidad jurídica, etc. sin la debida justificación</t>
    </r>
  </si>
  <si>
    <r>
      <t xml:space="preserve">Demoras injustificadas para firmar el contrato entre el organismo de contratación y el adjudicatario.
</t>
    </r>
    <r>
      <rPr>
        <u/>
        <sz val="14"/>
        <color indexed="8"/>
        <rFont val="Aptos Narrow"/>
        <family val="2"/>
      </rPr>
      <t>Descripción detallada:</t>
    </r>
    <r>
      <rPr>
        <sz val="14"/>
        <color theme="1"/>
        <rFont val="Aptos Narrow"/>
        <family val="2"/>
      </rPr>
      <t xml:space="preserve">
Las demoras excesivas en la firma del contrato pueden sugerir que está sucediendo algo inusual o sospechoso.  </t>
    </r>
  </si>
  <si>
    <r>
      <t xml:space="preserve">Inexistencia de contrato.
</t>
    </r>
    <r>
      <rPr>
        <u/>
        <sz val="14"/>
        <color indexed="8"/>
        <rFont val="Aptos Narrow"/>
        <family val="2"/>
      </rPr>
      <t>Descripción detallada:</t>
    </r>
    <r>
      <rPr>
        <sz val="14"/>
        <color theme="1"/>
        <rFont val="Aptos Narrow"/>
        <family val="2"/>
      </rPr>
      <t xml:space="preserve">
No existe contrato de adjudicación o la documentación del expediente de contratación es insuficiente, incompleta o inexistente como, por ejemplo, de la documentación de los licitadores en el procedimiento.  </t>
    </r>
  </si>
  <si>
    <r>
      <t xml:space="preserve">Prestación en términos inferiores a lo estipulado en el contrato.
</t>
    </r>
    <r>
      <rPr>
        <u/>
        <sz val="14"/>
        <color indexed="8"/>
        <rFont val="Aptos Narrow"/>
        <family val="2"/>
      </rPr>
      <t xml:space="preserve">Descripción detallada:
</t>
    </r>
    <r>
      <rPr>
        <sz val="14"/>
        <color theme="1"/>
        <rFont val="Aptos Narrow"/>
        <family val="2"/>
      </rPr>
      <t xml:space="preserve">
Se produce cuando se da alguna de las siguientes circunstancias: la falta de entrega o de sustitución de productos, la ejecución irregular en términos de calidad o de plazos de entrega o la asignación de recursos no cualificados o de coste inferior a las necesidades del contrato, entre otros; todo ello sin la correspondiente justificación/motivación, solicitud formal de prórroga por motivos no imputables al adjudicatario, por causas de fuerza mayor, etc.</t>
    </r>
  </si>
  <si>
    <r>
      <t xml:space="preserve">Falta de reciprocidad en las prestaciones recogidas en el contrato.
</t>
    </r>
    <r>
      <rPr>
        <u/>
        <sz val="14"/>
        <color indexed="8"/>
        <rFont val="Aptos Narrow"/>
        <family val="2"/>
      </rPr>
      <t xml:space="preserve">Descripción detallada:
</t>
    </r>
    <r>
      <rPr>
        <sz val="14"/>
        <color theme="1"/>
        <rFont val="Aptos Narrow"/>
        <family val="2"/>
      </rPr>
      <t xml:space="preserve">
Una de las características básicas de los contratos es que sean sinalagmáticos, es decir, debe existir una equivalencia entre la prestación y la contraprestación. Por ejemplo, se adjudica un contrato por 40.000 euros para un fin que no justifica tal cuantía (pintar unas aulas cuyo coste real de mercado puede suponer menos de 2.000 euros), se altera el servicio o producto a entregar por parte del contratista disminuyendo su cantidad pero sin producirse un cambio en la contraprestación o pago a realizar por parte del ente adjudicador, sobrestimación de la calidad o de las actividades del personal, etc.</t>
    </r>
  </si>
  <si>
    <r>
      <t xml:space="preserve">Cambios en la prestación sin causa razonable aparente.
</t>
    </r>
    <r>
      <rPr>
        <u/>
        <sz val="14"/>
        <color indexed="8"/>
        <rFont val="Aptos Narrow"/>
        <family val="2"/>
      </rPr>
      <t>Descripción detallada:</t>
    </r>
    <r>
      <rPr>
        <sz val="14"/>
        <color theme="1"/>
        <rFont val="Aptos Narrow"/>
        <family val="2"/>
      </rPr>
      <t xml:space="preserve">
Esta situación puede producirse de diferentes formas. Por ejemplo, tras establecer por contrato unos pedidos específicos con un contratista, estos se aumentan o disminuyen en numerosas ocasiones y sin causa razonable aparente, o se aumentan las horas de trabajo sin el aumento correspondiente de los materiales utilizados que se han podido utilizar durante esas horas de trabajo, etc.  </t>
    </r>
  </si>
  <si>
    <r>
      <t xml:space="preserve">Modificaciones de contratos sin cumplir los requisitos legales ni estar justificadas.
</t>
    </r>
    <r>
      <rPr>
        <u/>
        <sz val="14"/>
        <color indexed="8"/>
        <rFont val="Aptos Narrow"/>
        <family val="2"/>
      </rPr>
      <t xml:space="preserve">Descripción detallada:
</t>
    </r>
    <r>
      <rPr>
        <sz val="14"/>
        <color theme="1"/>
        <rFont val="Aptos Narrow"/>
        <family val="2"/>
      </rPr>
      <t xml:space="preserve">Esta situación puede tener lugar cuando se producen modificaciones en la prestación sin estar previstas en los pliegos de cláusulas administrativas y sin responder a prestaciones adicionales, circunstancias imprevistas y modificaciones no sustanciales previstas en la LCSP. Así mismo, pueden producirse cuando se modifican los precios del contrato y/o se amplía su plazo de ejecución incumpliendo los requisitos y/o trámites para ello. </t>
    </r>
  </si>
  <si>
    <r>
      <t xml:space="preserve">Incumplimiento de los deberes de información y comunicación de apoyo del FSE+.
</t>
    </r>
    <r>
      <rPr>
        <u/>
        <sz val="14"/>
        <color indexed="8"/>
        <rFont val="Aptos Narrow"/>
        <family val="2"/>
      </rPr>
      <t xml:space="preserve">Descripción detallada:
</t>
    </r>
    <r>
      <rPr>
        <b/>
        <sz val="14"/>
        <color indexed="8"/>
        <rFont val="Aptos Narrow"/>
        <family val="2"/>
      </rPr>
      <t xml:space="preserve">
</t>
    </r>
    <r>
      <rPr>
        <sz val="14"/>
        <color theme="1"/>
        <rFont val="Aptos Narrow"/>
        <family val="2"/>
      </rPr>
      <t>El adjudicatario incumple las obligaciones a las que queda sujeto en materia de información y publicidad del Fondo Social Europeo Plus. Tanto el organismo que realiza una convocatoria como los adjudicatarios están compelidos a informar y difundir que dichas ayudas u operaciones están financiadas con cargo al FSE+, y deben cumplir lo establecido en las disposiciones europeas al respecto (Artículos 46, 47 y 50 del RDC).</t>
    </r>
  </si>
  <si>
    <r>
      <t xml:space="preserve">El organismo no ha realizado una correcta documentación de la operación que permita garantizar la pista de auditoria.
</t>
    </r>
    <r>
      <rPr>
        <u/>
        <sz val="14"/>
        <color indexed="8"/>
        <rFont val="Aptos Narrow"/>
        <family val="2"/>
      </rPr>
      <t>Descripción detallada:</t>
    </r>
    <r>
      <rPr>
        <sz val="14"/>
        <color theme="1"/>
        <rFont val="Aptos Narrow"/>
        <family val="2"/>
      </rPr>
      <t xml:space="preserve">
En el expediente de la operación no quedan documentados los procesos que permiten garantizar la pista de auditoría. Por ejemplo procesos de gastos, procesos de pagos, procesos de contabilidad, de publicidad y de ejecución, entre otros.</t>
    </r>
  </si>
  <si>
    <r>
      <t xml:space="preserve">No se establece con precisión el método de cálculo de costes que debe aplicarse en las operaciones.
</t>
    </r>
    <r>
      <rPr>
        <u/>
        <sz val="14"/>
        <color theme="1"/>
        <rFont val="Aptos Narrow"/>
        <family val="2"/>
      </rPr>
      <t xml:space="preserve">Descripción detallada:
</t>
    </r>
    <r>
      <rPr>
        <b/>
        <sz val="14"/>
        <color theme="1"/>
        <rFont val="Aptos Narrow"/>
        <family val="2"/>
      </rPr>
      <t xml:space="preserve">
</t>
    </r>
    <r>
      <rPr>
        <sz val="14"/>
        <color theme="1"/>
        <rFont val="Aptos Narrow"/>
        <family val="2"/>
      </rPr>
      <t xml:space="preserve">El organismo no ha establecido de forma clara el método de cálculo de costes que aplica a la operación en la documentación previa ( DECA, pliegos, informe de necesidad, …)  , de acuerdo con lo establecido en los artículos 53 y siguientes del RDC. </t>
    </r>
  </si>
  <si>
    <r>
      <t xml:space="preserve">El organismo no ha realizado una correcta revisión de la justificación de la ayuda.
</t>
    </r>
    <r>
      <rPr>
        <u/>
        <sz val="14"/>
        <color theme="1"/>
        <rFont val="Aptos Narrow"/>
        <family val="2"/>
      </rPr>
      <t xml:space="preserve">
Descripción detallada:
</t>
    </r>
    <r>
      <rPr>
        <sz val="14"/>
        <color theme="1"/>
        <rFont val="Aptos Narrow"/>
        <family val="2"/>
      </rPr>
      <t>El organismo intermedio no revisa de forma adecuada la justificación de la ayuda concedida de acuerdo con lo establecido en la normativa correspondiente y/o en los manuales de justificación de la operación en cuestión.</t>
    </r>
  </si>
  <si>
    <t>COEFICIENTE RIESGO EX ANTE ASOCIADO A CONTRATACIÓN</t>
  </si>
  <si>
    <t>COEFICIENTE RIESGO EX ANTE ASOCIADO A MEDIOS PROPIOS</t>
  </si>
  <si>
    <r>
      <t xml:space="preserve">El beneficiario asigna de forma incorrecta los gastos de personal entre proyectos de la UE y de otras fuentes de financiación. 
</t>
    </r>
    <r>
      <rPr>
        <u/>
        <sz val="14"/>
        <color indexed="8"/>
        <rFont val="Calibri"/>
        <family val="2"/>
        <scheme val="minor"/>
      </rPr>
      <t xml:space="preserve">Descripción detallada:
</t>
    </r>
    <r>
      <rPr>
        <b/>
        <sz val="14"/>
        <color indexed="8"/>
        <rFont val="Calibri"/>
        <family val="2"/>
        <scheme val="minor"/>
      </rPr>
      <t xml:space="preserve">
</t>
    </r>
    <r>
      <rPr>
        <sz val="14"/>
        <color theme="1"/>
        <rFont val="Calibri"/>
        <family val="2"/>
        <scheme val="minor"/>
      </rPr>
      <t>Imputación deliberada por parte del organismo de gastos de personal que corresponden a otro proyecto no financiado por el FSE+ a un proyecto financiado con cargo al FSE+.</t>
    </r>
  </si>
  <si>
    <r>
      <t xml:space="preserve">Tarifas horarias inadecuadas.
</t>
    </r>
    <r>
      <rPr>
        <sz val="14"/>
        <color theme="1"/>
        <rFont val="Calibri"/>
        <family val="2"/>
        <scheme val="minor"/>
      </rPr>
      <t xml:space="preserve">
</t>
    </r>
    <r>
      <rPr>
        <u/>
        <sz val="14"/>
        <color theme="1"/>
        <rFont val="Calibri"/>
        <family val="2"/>
        <scheme val="minor"/>
      </rPr>
      <t xml:space="preserve">Descripción detallada:
</t>
    </r>
    <r>
      <rPr>
        <sz val="14"/>
        <color theme="1"/>
        <rFont val="Calibri"/>
        <family val="2"/>
        <scheme val="minor"/>
      </rPr>
      <t>La ratio coste/hora está calculado de forma irregular o no corresponde a la realidad por su sobreestimación o subestimación. Asimismo, puede ocurrir cuando se asignan a los gastos, conceptos que no forman parte de la nómina del empleado, partes de tiempo no firmados, horas extraordinarias no abonadas, no existe correspondencia entre el coste/hora y el nivel de cualificación requerido para un recurso humano concreto, imputación de periodos de baja, pagas extras mal imputadas, etc.</t>
    </r>
  </si>
  <si>
    <r>
      <t xml:space="preserve">Gastos reclamados para personal inexistente.
</t>
    </r>
    <r>
      <rPr>
        <u/>
        <sz val="14"/>
        <color theme="1"/>
        <rFont val="Calibri"/>
        <family val="2"/>
        <scheme val="minor"/>
      </rPr>
      <t>Descripción detallada:</t>
    </r>
    <r>
      <rPr>
        <sz val="14"/>
        <color theme="1"/>
        <rFont val="Calibri"/>
        <family val="2"/>
        <scheme val="minor"/>
      </rPr>
      <t xml:space="preserve">	
El organismo reclama la certificación de gastos de personal cuando en la realidad no se ha destinado dicho personal a la ejecución de la operación</t>
    </r>
    <r>
      <rPr>
        <b/>
        <sz val="14"/>
        <color theme="1"/>
        <rFont val="Calibri"/>
        <family val="2"/>
        <scheme val="minor"/>
      </rPr>
      <t xml:space="preserve">
</t>
    </r>
  </si>
  <si>
    <r>
      <t xml:space="preserve">Gastos de personal por actividades realizadas fuera del plazo de ejecución de la operación.
</t>
    </r>
    <r>
      <rPr>
        <u/>
        <sz val="14"/>
        <color theme="1"/>
        <rFont val="Calibri"/>
        <family val="2"/>
        <scheme val="minor"/>
      </rPr>
      <t>Descripción detallada:</t>
    </r>
    <r>
      <rPr>
        <b/>
        <sz val="14"/>
        <color theme="1"/>
        <rFont val="Calibri"/>
        <family val="2"/>
        <scheme val="minor"/>
      </rPr>
      <t xml:space="preserve">	
</t>
    </r>
    <r>
      <rPr>
        <sz val="14"/>
        <color theme="1"/>
        <rFont val="Calibri"/>
        <family val="2"/>
        <scheme val="minor"/>
      </rPr>
      <t>Existen gastos de personal contraídos por el organismo en concepto de actividades que han sido realizadas de forma efectiva fuera del plazo de ejecución de la operación.</t>
    </r>
  </si>
  <si>
    <r>
      <t xml:space="preserve">Retrasos injustificados en los plazos de entrega.
</t>
    </r>
    <r>
      <rPr>
        <u/>
        <sz val="14"/>
        <color indexed="8"/>
        <rFont val="Calibri"/>
        <family val="2"/>
        <scheme val="minor"/>
      </rPr>
      <t>Descripción detallada</t>
    </r>
    <r>
      <rPr>
        <sz val="14"/>
        <color theme="1"/>
        <rFont val="Calibri"/>
        <family val="2"/>
        <scheme val="minor"/>
      </rPr>
      <t>:
La bandera roja se produce cuando el tiempo dedicado por el organismo a la ejecución de la operación excede de los plazos previstos en la convocatoria y/o contrato, sin estar debidamente justificados.</t>
    </r>
  </si>
  <si>
    <r>
      <t xml:space="preserve">No entrega o realización del servicio. 
</t>
    </r>
    <r>
      <rPr>
        <u/>
        <sz val="14"/>
        <color indexed="8"/>
        <rFont val="Calibri"/>
        <family val="2"/>
        <scheme val="minor"/>
      </rPr>
      <t>Descripción detallada</t>
    </r>
    <r>
      <rPr>
        <sz val="14"/>
        <color theme="1"/>
        <rFont val="Calibri"/>
        <family val="2"/>
        <scheme val="minor"/>
      </rPr>
      <t>:
No existe constancia de la entrega o realización del servicio al que se imputan los gastos.</t>
    </r>
  </si>
  <si>
    <r>
      <t xml:space="preserve">El beneficiario/destinatario de las ayudas incumple la obligación de garantizar la concurrencia en caso de que necesite negociar con proveedores.
</t>
    </r>
    <r>
      <rPr>
        <u/>
        <sz val="14"/>
        <color theme="1"/>
        <rFont val="Calibri"/>
        <family val="2"/>
        <scheme val="minor"/>
      </rPr>
      <t xml:space="preserve">
Descripción detallada:
</t>
    </r>
    <r>
      <rPr>
        <sz val="14"/>
        <color theme="1"/>
        <rFont val="Calibri"/>
        <family val="2"/>
        <scheme val="minor"/>
      </rPr>
      <t xml:space="preserve">
El beneficiario/destinatario de la ayuda o subvención que, en su caso, desee negociar o contratar a proveedores, no garantiza la elección de los mismos a través de un proceso de concurrencia competitiva. Según el procedimiento establecido al efecto en el artículo 31.3 de la Ley General de Subvenciones, cuando el importe del gasto subvencionable supere la cuantía del contrato menor, según la normativa de contratación pública, el beneficiario deberá solicitar como mínimo tres ofertas de diferentes proveedores. En este caso, el riesgo también puede materializarse cuando los proveedores sean personas o entidades vinculadas con el beneficiario, según lo establecido en el artículo 29.7 de la Ley General de Subvenciones.</t>
    </r>
  </si>
  <si>
    <r>
      <t xml:space="preserve">La cualificación de la mano de obra no es la adecuada.
</t>
    </r>
    <r>
      <rPr>
        <u/>
        <sz val="14"/>
        <color theme="1"/>
        <rFont val="Calibri"/>
        <family val="2"/>
        <scheme val="minor"/>
      </rPr>
      <t>Descripción detallada:</t>
    </r>
    <r>
      <rPr>
        <b/>
        <sz val="14"/>
        <color theme="1"/>
        <rFont val="Calibri"/>
        <family val="2"/>
        <scheme val="minor"/>
      </rPr>
      <t xml:space="preserve">
</t>
    </r>
    <r>
      <rPr>
        <sz val="14"/>
        <color theme="1"/>
        <rFont val="Calibri"/>
        <family val="2"/>
        <scheme val="minor"/>
      </rPr>
      <t xml:space="preserve">
Los recursos humanos asignados a la operación no presentan el nivel de cualificación requerido o suficiente para la correcta ejecución de la misma u ostentan niveles de cualificación inferiores a los acordados para la correcta ejecución de la operación.</t>
    </r>
  </si>
  <si>
    <r>
      <t xml:space="preserve">Se describen de forma inexacta las actividades llevadas a cabo por el personal.
</t>
    </r>
    <r>
      <rPr>
        <u/>
        <sz val="14"/>
        <color indexed="8"/>
        <rFont val="Calibri"/>
        <family val="2"/>
        <scheme val="minor"/>
      </rPr>
      <t xml:space="preserve">Descripción detallada:
</t>
    </r>
    <r>
      <rPr>
        <sz val="14"/>
        <color theme="1"/>
        <rFont val="Calibri"/>
        <family val="2"/>
        <scheme val="minor"/>
      </rPr>
      <t xml:space="preserve">
Las actividades llevadas a cabo por el personal encargado de la ejecución de la operación no se corresponden con las actividades necesarias para llevar a cabo la operación.</t>
    </r>
  </si>
  <si>
    <r>
      <t xml:space="preserve">Incumplimiento de los deberes de información y comunicación de apoyo del FSE+.
</t>
    </r>
    <r>
      <rPr>
        <u/>
        <sz val="14"/>
        <color indexed="8"/>
        <rFont val="Calibri"/>
        <family val="2"/>
        <scheme val="minor"/>
      </rPr>
      <t>Descripción detallada:</t>
    </r>
    <r>
      <rPr>
        <sz val="14"/>
        <color theme="1"/>
        <rFont val="Calibri"/>
        <family val="2"/>
        <scheme val="minor"/>
      </rPr>
      <t xml:space="preserve">
Se produce un incumplimiento de los deberes de información y comunicación contenidos en los diferentes textos normativos, tanto nacionales como europeos, en particular de las obligaciones en este ámbito contenidas en Anexo IX del RDC.</t>
    </r>
  </si>
  <si>
    <r>
      <t xml:space="preserve">No se establece con precisión el método de cálculo de costes que debe aplicarse en las operaciones.
</t>
    </r>
    <r>
      <rPr>
        <u/>
        <sz val="14"/>
        <color theme="1"/>
        <rFont val="Calibri"/>
        <family val="2"/>
        <scheme val="minor"/>
      </rPr>
      <t xml:space="preserve">
Descripción detallada:
</t>
    </r>
    <r>
      <rPr>
        <b/>
        <sz val="14"/>
        <color theme="1"/>
        <rFont val="Calibri"/>
        <family val="2"/>
        <scheme val="minor"/>
      </rPr>
      <t xml:space="preserve">
</t>
    </r>
    <r>
      <rPr>
        <sz val="14"/>
        <color theme="1"/>
        <rFont val="Calibri"/>
        <family val="2"/>
        <scheme val="minor"/>
      </rPr>
      <t xml:space="preserve">El organismo no ha establecido de forma clara el método de cálculo de costes que aplica a la operación en la documentación previa ( DECA, manual de gestión, …)  , de acuerdo con lo establecido en los artículos 53 y siguientes del RDC. </t>
    </r>
  </si>
  <si>
    <r>
      <t xml:space="preserve">El organismo no ha realizado una correcta revisión de la justificación de la ayuda.
</t>
    </r>
    <r>
      <rPr>
        <u/>
        <sz val="14"/>
        <color theme="1"/>
        <rFont val="Calibri"/>
        <family val="2"/>
        <scheme val="minor"/>
      </rPr>
      <t>Descripción detallada:</t>
    </r>
    <r>
      <rPr>
        <b/>
        <sz val="14"/>
        <color theme="1"/>
        <rFont val="Calibri"/>
        <family val="2"/>
        <scheme val="minor"/>
      </rPr>
      <t xml:space="preserve">
</t>
    </r>
    <r>
      <rPr>
        <sz val="14"/>
        <color theme="1"/>
        <rFont val="Calibri"/>
        <family val="2"/>
        <scheme val="minor"/>
      </rPr>
      <t>El organismo intermedio no revisa de forma adecuada la justificación de la ayuda concedida de acuerdo con lo establecido en la normativa correspondiente y/o en los manuales de justificación de la operación en cuestión.
Una incorrecta revisión de la justificación puede dar lugar a errores en la verificación de la elegibilidad del gasto incumpliendo así lo establecido en la Orden TES/106/2024, de 8 de febrero, por la que se determinan los gastos subvencionables por el Fondo Social Europeo Plus durante el período de programación 2021-2027.</t>
    </r>
  </si>
  <si>
    <t>¿Es de aplicación el método de gestión de "Encargo a Medio Propio"?</t>
  </si>
  <si>
    <t>¿Es de aplicación el método de gestión de "Medios Propios"?</t>
  </si>
  <si>
    <t>¿Es de aplicación el método de "Contratación"?</t>
  </si>
  <si>
    <t>¿Es de aplicación el método de "Subvenciones"?</t>
  </si>
  <si>
    <r>
      <t xml:space="preserve">El órgano encargado no cumple los requisitos para ser considerado ente instrumental.
</t>
    </r>
    <r>
      <rPr>
        <u/>
        <sz val="14"/>
        <color indexed="8"/>
        <rFont val="Aptos Narrow"/>
        <family val="2"/>
      </rPr>
      <t xml:space="preserve">Descripción detallada:
</t>
    </r>
    <r>
      <rPr>
        <sz val="14"/>
        <color theme="1"/>
        <rFont val="Aptos Narrow"/>
        <family val="2"/>
      </rPr>
      <t>El órgano encargado no reúne los requisitos para ser calificado como medio propio personificado respecto de los poderes adjudicadores correspondientes, al no cumplir con los requisitos establecidos en los artículos 32.2, 32.3 y 32.4 de la Ley 9/2017 de 8 de noviembre de Contratos del Sector Público y del artículo 86.2 de la ley 40/ 2015, de 1 de octubre de Régimen Jurídico del Sector Público.</t>
    </r>
  </si>
  <si>
    <r>
      <t xml:space="preserve">Justificación insuficiente del recurso al encargo (instrumento jurídico, necesidades a cubrir y objeto del encargo).
</t>
    </r>
    <r>
      <rPr>
        <u/>
        <sz val="14"/>
        <color indexed="8"/>
        <rFont val="Aptos Narrow"/>
        <family val="2"/>
      </rPr>
      <t xml:space="preserve">Descripción detallada:
</t>
    </r>
    <r>
      <rPr>
        <b/>
        <sz val="14"/>
        <color indexed="8"/>
        <rFont val="Aptos Narrow"/>
        <family val="2"/>
      </rPr>
      <t xml:space="preserve">
</t>
    </r>
    <r>
      <rPr>
        <sz val="14"/>
        <color theme="1"/>
        <rFont val="Aptos Narrow"/>
        <family val="2"/>
      </rPr>
      <t>El informe de insuficiencia de medios no establece razones claras y concluyentes para justificar el recurso a un encargo. Además, las necesidades a cubrir no están adecuadamente justificadas o el objeto del encargo no está suficientemente definido con el detalle de las actividades a realizar.</t>
    </r>
  </si>
  <si>
    <r>
      <t xml:space="preserve">Ejecución de forma paralela actividades semejantes con recursos propios o ejecución en periodos anteriores de las operaciones sin acudir a este método de gestión.
</t>
    </r>
    <r>
      <rPr>
        <u/>
        <sz val="14"/>
        <color indexed="8"/>
        <rFont val="Aptos Narrow"/>
        <family val="2"/>
      </rPr>
      <t>Descripción detallada:</t>
    </r>
    <r>
      <rPr>
        <b/>
        <sz val="14"/>
        <color indexed="8"/>
        <rFont val="Aptos Narrow"/>
        <family val="2"/>
      </rPr>
      <t xml:space="preserve">
</t>
    </r>
    <r>
      <rPr>
        <sz val="14"/>
        <color theme="1"/>
        <rFont val="Aptos Narrow"/>
        <family val="2"/>
      </rPr>
      <t>La entidad realiza actividades similares sin acudir a la figura del encargo a través de sus propios medios; en periodos anteriores las operaciones fueron ejecutadas con otros métodos, o bien se está utilizando el encargo para cubrir necesidades recurrentes que deberían realizarse por personal de la propia entidad, no quedando justificado el recurso al encargo en las operaciones evaluadas.</t>
    </r>
  </si>
  <si>
    <r>
      <t xml:space="preserve">El órgano que encarga no ostenta la condición de poder adjudicador. 
</t>
    </r>
    <r>
      <rPr>
        <u/>
        <sz val="14"/>
        <color indexed="8"/>
        <rFont val="Aptos Narrow"/>
        <family val="2"/>
      </rPr>
      <t>Descripción detallada</t>
    </r>
    <r>
      <rPr>
        <sz val="14"/>
        <color theme="1"/>
        <rFont val="Aptos Narrow"/>
        <family val="2"/>
      </rPr>
      <t>:
La bandera roja tiene lugar cuando el órgano que encarga la gestión no ostenta la condición poder adjudicador, no siendo uno de los organismos o entidades considerados a tal efecto por el artículo 3.3 de la Ley 9/2017 de 8 de noviembre que establece el ámbito subjetivo de la normativa de Contratos del Sector Público.</t>
    </r>
  </si>
  <si>
    <r>
      <t xml:space="preserve">Concentración de encargos con objetos diferentes en un medio propio concreto, en el caso de que haya varios.
</t>
    </r>
    <r>
      <rPr>
        <u/>
        <sz val="14"/>
        <color indexed="8"/>
        <rFont val="Aptos Narrow"/>
        <family val="2"/>
      </rPr>
      <t>Descripción detallada:</t>
    </r>
    <r>
      <rPr>
        <sz val="14"/>
        <color theme="1"/>
        <rFont val="Aptos Narrow"/>
        <family val="2"/>
      </rPr>
      <t xml:space="preserve">
Se realizan los encargos siempre al mismo medio propio o a unos pocos (siempre que haya más) sin razones objetivas para ello, lo que conlleva un riesgo de fuerte dependencia y vinculación que pueden comprometer la operatividad del organismo si se prescindiera de ese medio propio, y adicionalmente puede constituir un riesgo de buena gestión financiera, de incumplimiento y abrir la puerta al fraude y la corrupción.</t>
    </r>
  </si>
  <si>
    <r>
      <t xml:space="preserve">El objeto del medio propio al que se realiza el encargo no coincide con el tipo de actividades que se le han encargado.
</t>
    </r>
    <r>
      <rPr>
        <u/>
        <sz val="14"/>
        <color indexed="8"/>
        <rFont val="Aptos Narrow"/>
        <family val="2"/>
      </rPr>
      <t>Descripción detallada:</t>
    </r>
    <r>
      <rPr>
        <sz val="14"/>
        <color theme="1"/>
        <rFont val="Aptos Narrow"/>
        <family val="2"/>
      </rPr>
      <t xml:space="preserve">
Se han realizado encargos no plenamente concordantes con el objeto social del medio propio o que no encajan adecuadamente en el mismo o en su área de especialización funcional.</t>
    </r>
  </si>
  <si>
    <r>
      <t xml:space="preserve">No cumplen los requisitos establecidos en el artículo 32.7 de la LCSP en los negocios jurídicos que los entes destinatarios del encargo celebran en ejecución del mismo.
</t>
    </r>
    <r>
      <rPr>
        <u/>
        <sz val="14"/>
        <color indexed="8"/>
        <rFont val="Aptos Narrow"/>
        <family val="2"/>
      </rPr>
      <t>Descripción detallada:</t>
    </r>
    <r>
      <rPr>
        <sz val="14"/>
        <color theme="1"/>
        <rFont val="Aptos Narrow"/>
        <family val="2"/>
      </rPr>
      <t xml:space="preserve">
Se realizan por el medio propio subcontrataciones no previstas en los documentos o pliegos reguladores del encargo sin que tampoco se hayan notificado al ente que realiza el encargo de contrataciones sobrevenidas.  Además, el medio propio realiza subcontrataciones por encima del límite del 50% del importe del encargo.</t>
    </r>
  </si>
  <si>
    <r>
      <t xml:space="preserve">Contratación recurrente de los mismos proveedores.
</t>
    </r>
    <r>
      <rPr>
        <u/>
        <sz val="14"/>
        <color theme="1"/>
        <rFont val="Aptos Narrow"/>
        <family val="2"/>
      </rPr>
      <t xml:space="preserve">Descripción detallada:
</t>
    </r>
    <r>
      <rPr>
        <sz val="14"/>
        <color theme="1"/>
        <rFont val="Aptos Narrow"/>
        <family val="2"/>
      </rPr>
      <t>Tendencia por parte del organismo que encarga a contratar siempre a los mismos proveedores, sin justificación aparente.</t>
    </r>
  </si>
  <si>
    <r>
      <t xml:space="preserve">Incumplimiento del deber de publicación del encargo en la Plataforma de Contratación correspondiente en el caso de encargos de importe superior a 50.000€, IVA excluido.
</t>
    </r>
    <r>
      <rPr>
        <u/>
        <sz val="14"/>
        <color indexed="8"/>
        <rFont val="Aptos Narrow"/>
        <family val="2"/>
      </rPr>
      <t>Descripción detallada:</t>
    </r>
    <r>
      <rPr>
        <sz val="14"/>
        <color theme="1"/>
        <rFont val="Aptos Narrow"/>
        <family val="2"/>
      </rPr>
      <t xml:space="preserve">
No ha cumplido con la obligación de publicar el encargo en la Plataforma de Contratación (perfil del contratante) en los encargos de importe superior a 50.000€, IVA excluido, con la información que exige el artículo 63.6 de la LCSP.</t>
    </r>
  </si>
  <si>
    <r>
      <t xml:space="preserve">Retrasos injustificados en los plazos de entrega.
</t>
    </r>
    <r>
      <rPr>
        <u/>
        <sz val="14"/>
        <color indexed="8"/>
        <rFont val="Aptos Narrow"/>
        <family val="2"/>
      </rPr>
      <t>Descripción detallada:</t>
    </r>
    <r>
      <rPr>
        <b/>
        <sz val="14"/>
        <color indexed="8"/>
        <rFont val="Aptos Narrow"/>
        <family val="2"/>
      </rPr>
      <t xml:space="preserve">
</t>
    </r>
    <r>
      <rPr>
        <sz val="14"/>
        <color theme="1"/>
        <rFont val="Aptos Narrow"/>
        <family val="2"/>
      </rPr>
      <t>El plazo de ejecución del encargo excede del previsto en los documentos o pliegos que rigen el encargo, sin estar debidamente justificado.</t>
    </r>
  </si>
  <si>
    <r>
      <t xml:space="preserve">Ausencia de tarifas aprobadas por el órgano competente o falta de actualización cuando proceda.
</t>
    </r>
    <r>
      <rPr>
        <u/>
        <sz val="14"/>
        <color indexed="8"/>
        <rFont val="Aptos Narrow"/>
        <family val="2"/>
      </rPr>
      <t>Descripción detallada:</t>
    </r>
    <r>
      <rPr>
        <b/>
        <sz val="14"/>
        <color indexed="8"/>
        <rFont val="Aptos Narrow"/>
        <family val="2"/>
      </rPr>
      <t xml:space="preserve">
</t>
    </r>
    <r>
      <rPr>
        <sz val="14"/>
        <color theme="1"/>
        <rFont val="Aptos Narrow"/>
        <family val="2"/>
      </rPr>
      <t xml:space="preserve">
El medio propio no dispone de tarifas aprobadas por el órgano competente para ello (o actualizadas convenientemente para reflejar los costes reales de la actividad) para determinar el importe del encargo.</t>
    </r>
  </si>
  <si>
    <r>
      <t xml:space="preserve">Estimación incorrecta de las unidades a las que se aplican las tarifas en la elaboración del presupuesto.
</t>
    </r>
    <r>
      <rPr>
        <u/>
        <sz val="14"/>
        <color theme="1"/>
        <rFont val="Aptos Narrow"/>
        <family val="2"/>
      </rPr>
      <t>Descripción detallada:</t>
    </r>
    <r>
      <rPr>
        <sz val="14"/>
        <color theme="1"/>
        <rFont val="Aptos Narrow"/>
        <family val="2"/>
      </rPr>
      <t xml:space="preserve">	
</t>
    </r>
    <r>
      <rPr>
        <b/>
        <sz val="14"/>
        <color theme="1"/>
        <rFont val="Aptos Narrow"/>
        <family val="2"/>
      </rPr>
      <t xml:space="preserve">
</t>
    </r>
    <r>
      <rPr>
        <sz val="14"/>
        <color theme="1"/>
        <rFont val="Aptos Narrow"/>
        <family val="2"/>
      </rPr>
      <t>Las unidades materiales, personales y temporales que se han tenido en cuenta para la elaboración del presupuesto del encargo y sus modificaciones no han sido estimadas correctamente.</t>
    </r>
  </si>
  <si>
    <r>
      <t xml:space="preserve">Aplicación de IVA cuando se trata de una operación no sujeta (artículo 7.8º Ley del IVA).
</t>
    </r>
    <r>
      <rPr>
        <u/>
        <sz val="14"/>
        <color theme="1"/>
        <rFont val="Aptos Narrow"/>
        <family val="2"/>
      </rPr>
      <t>Descripción detallada:</t>
    </r>
    <r>
      <rPr>
        <b/>
        <sz val="14"/>
        <color theme="1"/>
        <rFont val="Aptos Narrow"/>
        <family val="2"/>
      </rPr>
      <t xml:space="preserve">
</t>
    </r>
    <r>
      <rPr>
        <sz val="14"/>
        <color theme="1"/>
        <rFont val="Aptos Narrow"/>
        <family val="2"/>
      </rPr>
      <t xml:space="preserve">
Se ha aplicado el IVA al importe del encargo cuando se trata de una operación no sujeta al IVA.</t>
    </r>
  </si>
  <si>
    <r>
      <t xml:space="preserve">No se establece con precisión el método de cálculo de costes que debe aplicarse en las operaciones.
</t>
    </r>
    <r>
      <rPr>
        <u/>
        <sz val="14"/>
        <color indexed="8"/>
        <rFont val="Aptos Narrow"/>
        <family val="2"/>
      </rPr>
      <t xml:space="preserve">Descripción detallada:
</t>
    </r>
    <r>
      <rPr>
        <sz val="14"/>
        <color theme="1"/>
        <rFont val="Aptos Narrow"/>
        <family val="2"/>
      </rPr>
      <t xml:space="preserve">El organismo no ha establecido de forma clara el método de cálculo de costes que aplica a la operación en la documentación previa ( DECA, informe de necesidad…), de acuerdo con lo establecido en los artículos 53 y siguientes del RDC. </t>
    </r>
  </si>
  <si>
    <r>
      <t xml:space="preserve">El organismo no ha realizado una correcta revisión de la justificación de la ayuda.
</t>
    </r>
    <r>
      <rPr>
        <u/>
        <sz val="14"/>
        <color theme="1"/>
        <rFont val="Aptos Narrow"/>
        <family val="2"/>
      </rPr>
      <t xml:space="preserve">Descripción detallada:
</t>
    </r>
    <r>
      <rPr>
        <sz val="14"/>
        <color theme="1"/>
        <rFont val="Aptos Narrow"/>
        <family val="2"/>
      </rPr>
      <t xml:space="preserve">	El organismo intermedio no revisa de forma adecuada la justificación de la ayuda concedida de acuerdo con lo establecido en la normativa correspondiente y/o en los manuales de justificación de la operación en cuestión.</t>
    </r>
  </si>
  <si>
    <r>
      <t xml:space="preserve">No hay entrega de los productos o no se realiza el servicio, total o parcial.
</t>
    </r>
    <r>
      <rPr>
        <u/>
        <sz val="14"/>
        <color indexed="8"/>
        <rFont val="Aptos Narrow"/>
        <family val="2"/>
      </rPr>
      <t>Descripción detallada:</t>
    </r>
    <r>
      <rPr>
        <b/>
        <sz val="14"/>
        <color indexed="8"/>
        <rFont val="Aptos Narrow"/>
        <family val="2"/>
      </rPr>
      <t xml:space="preserve">
</t>
    </r>
    <r>
      <rPr>
        <sz val="14"/>
        <color theme="1"/>
        <rFont val="Aptos Narrow"/>
        <family val="2"/>
      </rPr>
      <t xml:space="preserve">No existe constancia de la entrega o de la realización total de los productos o servicios objeto del encargo. </t>
    </r>
  </si>
  <si>
    <r>
      <t xml:space="preserve">Falta de adecuación de las prestaciones del encargo con la necesidad administrativa que debe cubrir.
</t>
    </r>
    <r>
      <rPr>
        <u/>
        <sz val="14"/>
        <color indexed="8"/>
        <rFont val="Aptos Narrow"/>
        <family val="2"/>
      </rPr>
      <t>Descripción detallada:</t>
    </r>
    <r>
      <rPr>
        <b/>
        <sz val="14"/>
        <color indexed="8"/>
        <rFont val="Aptos Narrow"/>
        <family val="2"/>
      </rPr>
      <t xml:space="preserve">
</t>
    </r>
    <r>
      <rPr>
        <sz val="14"/>
        <color theme="1"/>
        <rFont val="Aptos Narrow"/>
        <family val="2"/>
      </rPr>
      <t>Los servicios o productos entregados no se corresponden con la necesidad administrativa que pretendía cubrirse con el encargo.</t>
    </r>
  </si>
  <si>
    <r>
      <t xml:space="preserve">Aplicación incorrecta de las tarifas aplicadas en la elaboración del presupuesto.
</t>
    </r>
    <r>
      <rPr>
        <sz val="14"/>
        <color theme="1"/>
        <rFont val="Aptos Narrow"/>
        <family val="2"/>
      </rPr>
      <t xml:space="preserve">
</t>
    </r>
    <r>
      <rPr>
        <u/>
        <sz val="14"/>
        <color theme="1"/>
        <rFont val="Aptos Narrow"/>
        <family val="2"/>
      </rPr>
      <t>Descripción detallada:</t>
    </r>
    <r>
      <rPr>
        <sz val="14"/>
        <color theme="1"/>
        <rFont val="Aptos Narrow"/>
        <family val="2"/>
      </rPr>
      <t xml:space="preserve">
</t>
    </r>
    <r>
      <rPr>
        <u/>
        <sz val="14"/>
        <color theme="1"/>
        <rFont val="Aptos Narrow"/>
        <family val="2"/>
      </rPr>
      <t xml:space="preserve">
</t>
    </r>
    <r>
      <rPr>
        <sz val="14"/>
        <color theme="1"/>
        <rFont val="Aptos Narrow"/>
        <family val="2"/>
      </rPr>
      <t>No se han aplicado las tarifas aprobadas para la elaboración del presupuesto del encargo y sus modificaciones o se han aplicado incorrectamente</t>
    </r>
    <r>
      <rPr>
        <b/>
        <sz val="14"/>
        <color theme="1"/>
        <rFont val="Aptos Narrow"/>
        <family val="2"/>
      </rPr>
      <t>.</t>
    </r>
  </si>
  <si>
    <t>● Establecimiento de un procedimiento para la realización de encargos que contemple su adecuada planificación y análisis de plazo de ejecución, así como los mecanismos y trámites a realizar en caso de causas sobrevenidas que supongan prórrogas o ampliaciones de plazo.
● Establecimiento por parte del ente que realiza el encargo de un sistema de seguimiento y control de cumplimiento de los hitos o entregas parciales durante la ejecución del encargo.</t>
  </si>
  <si>
    <t>COEFICIENTE RIESGO EX ANTE ASOCIADO A ENCARGO</t>
  </si>
  <si>
    <t>COEFICIENTE RIESGO EX ANTE ASOCIADO A ENCOMIENDA DE GESTIÓN</t>
  </si>
  <si>
    <t>Inexistencia de necesidad justificada para la encomienda de gestión</t>
  </si>
  <si>
    <t xml:space="preserve">Incumplimiento por el órgano encomendado de los requisitos para ser considerado ente instrumental </t>
  </si>
  <si>
    <t xml:space="preserve">Limitación a la concurrencia en el caso de ejecución por terceros
</t>
  </si>
  <si>
    <t>Incumplimiento total o parcial de las prestaciones objeto de la encomienda</t>
  </si>
  <si>
    <r>
      <t xml:space="preserve">Justificación insuficiente del recurso a la encomienda de gestión (instrumento jurídico, necesidades a cubrir y objeto de la encomienda).
</t>
    </r>
    <r>
      <rPr>
        <u/>
        <sz val="14"/>
        <color indexed="8"/>
        <rFont val="Aptos Narrow"/>
        <family val="2"/>
      </rPr>
      <t xml:space="preserve">
Descripción detallada</t>
    </r>
    <r>
      <rPr>
        <sz val="14"/>
        <color theme="1"/>
        <rFont val="Aptos Narrow"/>
        <family val="2"/>
      </rPr>
      <t>:
El informe de insuficiencia de medios no establece razones claras y concluyentes para justificar el recurso a una encomienda de gestión. Además, las necesidades a cubrir no están adecuadamente justificadas o el objeto de la encomienda no está suficientemente definido con el detalle de las actividades a realizar.</t>
    </r>
  </si>
  <si>
    <r>
      <t xml:space="preserve">Ejecución de forma paralela actividades semejantes con recursos propios o ejecución en periodos anteriores de las operaciones sin acudir a este método de gestión
</t>
    </r>
    <r>
      <rPr>
        <u/>
        <sz val="14"/>
        <color indexed="8"/>
        <rFont val="Aptos Narrow"/>
        <family val="2"/>
      </rPr>
      <t>Descripción detallada:</t>
    </r>
    <r>
      <rPr>
        <b/>
        <sz val="14"/>
        <color indexed="8"/>
        <rFont val="Aptos Narrow"/>
        <family val="2"/>
      </rPr>
      <t xml:space="preserve">
</t>
    </r>
    <r>
      <rPr>
        <sz val="14"/>
        <color theme="1"/>
        <rFont val="Aptos Narrow"/>
        <family val="2"/>
      </rPr>
      <t xml:space="preserve">
La entidad realiza actividades similares sin acudir a la figura de la encomienda a través de sus propios medios; en periodos anteriores las operaciones fueron ejecutadas con otros métodos, o bien se está utilizando la encomienda para cubrir necesidades recurrentes que deberían realizarse por personal de la propia entidad, no quedando justificado el recurso a la encomienda en las operaciones evaluadas.</t>
    </r>
  </si>
  <si>
    <r>
      <t xml:space="preserve">Incumplimiento por el órgano encomendante de los requisitos subjetivos para serlo </t>
    </r>
    <r>
      <rPr>
        <b/>
        <sz val="14"/>
        <color indexed="17"/>
        <rFont val="Aptos Narrow"/>
        <family val="2"/>
      </rPr>
      <t xml:space="preserve">
</t>
    </r>
  </si>
  <si>
    <r>
      <rPr>
        <b/>
        <sz val="14"/>
        <color indexed="8"/>
        <rFont val="Aptos Narrow"/>
        <family val="2"/>
      </rPr>
      <t xml:space="preserve">El órgano encomendante no ostenta la condición de poder adjudicador
</t>
    </r>
    <r>
      <rPr>
        <sz val="14"/>
        <color theme="1"/>
        <rFont val="Aptos Narrow"/>
        <family val="2"/>
      </rPr>
      <t xml:space="preserve">
</t>
    </r>
    <r>
      <rPr>
        <u/>
        <sz val="14"/>
        <color indexed="8"/>
        <rFont val="Aptos Narrow"/>
        <family val="2"/>
      </rPr>
      <t xml:space="preserve">Descripción detallada:
</t>
    </r>
    <r>
      <rPr>
        <sz val="14"/>
        <color theme="1"/>
        <rFont val="Aptos Narrow"/>
        <family val="2"/>
      </rPr>
      <t xml:space="preserve">
La bandera roja tiene lugar cuando el órgano encomendante no ostenta la condición poder adjudicador, no siendo uno de los organismos o entidades considerados a tal efecto por el artículo 3.3 de la Ley 9/2017 de 8 de noviembre que establece el ámbito subjetivo de la normativa de Contratos del Sector Público.</t>
    </r>
  </si>
  <si>
    <r>
      <t xml:space="preserve">El órgano encomendado no cumple los requisitos para ser considerado ente instrumental 
</t>
    </r>
    <r>
      <rPr>
        <u/>
        <sz val="14"/>
        <color indexed="8"/>
        <rFont val="Aptos Narrow"/>
        <family val="2"/>
      </rPr>
      <t xml:space="preserve">
Descripción detallada:</t>
    </r>
    <r>
      <rPr>
        <sz val="14"/>
        <color theme="1"/>
        <rFont val="Aptos Narrow"/>
        <family val="2"/>
      </rPr>
      <t xml:space="preserve">
El órgano encargado no reúne los requisitos para ser calificado como medio propio personificado respecto de los poderes adjudicadores correspondientes, al no cumplir con los requisitos establecidos en el artículo 32.2, 32.3 y 32.4 de la Ley 9/2017 de 8 de noviembre de Contratos del Sector Público y del artículo 86.2 de la ley 40/ 2015, de 1 de octubre de Régimen Jurídico del Sector Público.</t>
    </r>
  </si>
  <si>
    <r>
      <t xml:space="preserve">Inaplicabilidad del procedimiento de contratación legalmente aplicable
</t>
    </r>
    <r>
      <rPr>
        <u/>
        <sz val="14"/>
        <color indexed="8"/>
        <rFont val="Aptos Narrow"/>
        <family val="2"/>
      </rPr>
      <t>Descripción detallada</t>
    </r>
    <r>
      <rPr>
        <sz val="14"/>
        <color theme="1"/>
        <rFont val="Aptos Narrow"/>
        <family val="2"/>
      </rPr>
      <t xml:space="preserve">
El ente instrumental (el ente al que se le encarga la gestión) ha necesitado la ejecución de prestaciones por parte de terceros y la licitación y ejecución de estas no se ha realizado conforme a lo establecido en las disposiciones normativas que regulan la contratación en el Sector Público, considerando los requisitos específicos sobre el carácter de la encomienda de gestión y el importe de esta.</t>
    </r>
  </si>
  <si>
    <r>
      <t xml:space="preserve">Contratación recurrente de los mismos proveedores
</t>
    </r>
    <r>
      <rPr>
        <b/>
        <u/>
        <sz val="14"/>
        <color indexed="8"/>
        <rFont val="Aptos Narrow"/>
        <family val="2"/>
      </rPr>
      <t xml:space="preserve">Descripción detallada:
</t>
    </r>
    <r>
      <rPr>
        <b/>
        <sz val="14"/>
        <color indexed="8"/>
        <rFont val="Aptos Narrow"/>
        <family val="2"/>
      </rPr>
      <t xml:space="preserve">
</t>
    </r>
    <r>
      <rPr>
        <sz val="14"/>
        <color theme="1"/>
        <rFont val="Aptos Narrow"/>
        <family val="2"/>
      </rPr>
      <t>Tendencia por parte del ente encomendante a contratar siempre a los mismos proveedores, sin justificación aparente.</t>
    </r>
  </si>
  <si>
    <r>
      <t xml:space="preserve">Incumplimiento del deber de publicación de la encomienda en el Boletín Oficial (correspondiente según la Administración a que pertenezca el órgano encomendante (artículo 11.3. a) Ley 40/2015)).
</t>
    </r>
    <r>
      <rPr>
        <u/>
        <sz val="14"/>
        <color theme="1"/>
        <rFont val="Aptos Narrow"/>
        <family val="2"/>
      </rPr>
      <t xml:space="preserve">
Descripción detallada:
</t>
    </r>
    <r>
      <rPr>
        <b/>
        <sz val="14"/>
        <color theme="1"/>
        <rFont val="Aptos Narrow"/>
        <family val="2"/>
      </rPr>
      <t xml:space="preserve">
</t>
    </r>
    <r>
      <rPr>
        <sz val="14"/>
        <color theme="1"/>
        <rFont val="Aptos Narrow"/>
        <family val="2"/>
      </rPr>
      <t>No se ha cumplido con la obligación de publicar la encomienda en Boletín Oficial (correspondiente según la Administración a que pertenezca el órgano encomendante (artículo 11.3. a) Ley 40/2015)).</t>
    </r>
  </si>
  <si>
    <r>
      <t xml:space="preserve">Incumplimiento de los deberes de información y comunicación del apoyo del FSE+ a las medidas financiadas
</t>
    </r>
    <r>
      <rPr>
        <u/>
        <sz val="14"/>
        <color theme="1"/>
        <rFont val="Aptos Narrow"/>
        <family val="2"/>
      </rPr>
      <t>Descripción detallada:</t>
    </r>
    <r>
      <rPr>
        <b/>
        <sz val="14"/>
        <color theme="1"/>
        <rFont val="Aptos Narrow"/>
        <family val="2"/>
      </rPr>
      <t xml:space="preserve">
</t>
    </r>
    <r>
      <rPr>
        <sz val="14"/>
        <color theme="1"/>
        <rFont val="Aptos Narrow"/>
        <family val="2"/>
      </rPr>
      <t xml:space="preserve">
Se produce un incumplimiento de los deberes de información y comunicación contenidos en los diferentes textos normativos, tanto nacionales como europeos, en particular de las obligaciones en este ámbito contenidas en los artículos 46, 47 y 50 del Reglamento (UE) 2021/1060, del Parlamento Europeo y del Consejo, de 24 de junio de 2021, por el que se establecen las disposiciones comunes relativas al Fondo Social Europeo Plus.</t>
    </r>
  </si>
  <si>
    <r>
      <t xml:space="preserve">Retrasos injustificados en los plazos de entrega
</t>
    </r>
    <r>
      <rPr>
        <u/>
        <sz val="14"/>
        <color theme="1"/>
        <rFont val="Aptos Narrow"/>
        <family val="2"/>
      </rPr>
      <t>Descripción detallada:</t>
    </r>
    <r>
      <rPr>
        <sz val="14"/>
        <color theme="1"/>
        <rFont val="Aptos Narrow"/>
        <family val="2"/>
      </rPr>
      <t xml:space="preserve">
El plazo de ejecución de la encomienda excede del previsto en los documentos o pliegos que rigen la encomienda, sin estar debidamente justificado.</t>
    </r>
  </si>
  <si>
    <r>
      <t xml:space="preserve">No hay entrega de los productos o no se realiza el servicio, total o parcial 
</t>
    </r>
    <r>
      <rPr>
        <u/>
        <sz val="14"/>
        <color theme="1"/>
        <rFont val="Aptos Narrow"/>
        <family val="2"/>
      </rPr>
      <t xml:space="preserve">
Descripción detallada:
</t>
    </r>
    <r>
      <rPr>
        <b/>
        <sz val="14"/>
        <color theme="1"/>
        <rFont val="Aptos Narrow"/>
        <family val="2"/>
      </rPr>
      <t xml:space="preserve">
</t>
    </r>
    <r>
      <rPr>
        <sz val="14"/>
        <color theme="1"/>
        <rFont val="Aptos Narrow"/>
        <family val="2"/>
      </rPr>
      <t>No existe constancia de la entrega o de la realización total de los productos o servicios objeto de la encomienda.</t>
    </r>
  </si>
  <si>
    <r>
      <t xml:space="preserve">Falta de adecuación de las prestaciones de la encomienda con la necesidad administrativa que debe cubrir
</t>
    </r>
    <r>
      <rPr>
        <b/>
        <u/>
        <sz val="14"/>
        <color theme="1"/>
        <rFont val="Aptos Narrow"/>
        <family val="2"/>
      </rPr>
      <t>Descripción detallada:</t>
    </r>
    <r>
      <rPr>
        <sz val="14"/>
        <color theme="1"/>
        <rFont val="Aptos Narrow"/>
        <family val="2"/>
      </rPr>
      <t xml:space="preserve">
Los servicios o productos entregados no se corresponden con la necesidad administrativa que pretendía cubrirse con la encomienda de gestión.</t>
    </r>
  </si>
  <si>
    <r>
      <t xml:space="preserve">El organismo no ha realizado una correcta documentación de la operación que permita garantizar la pista de auditoría
</t>
    </r>
    <r>
      <rPr>
        <u/>
        <sz val="14"/>
        <color theme="1"/>
        <rFont val="Aptos Narrow"/>
        <family val="2"/>
      </rPr>
      <t>Descripción detallada:</t>
    </r>
    <r>
      <rPr>
        <sz val="14"/>
        <color theme="1"/>
        <rFont val="Aptos Narrow"/>
        <family val="2"/>
      </rPr>
      <t xml:space="preserve">
En el expediente de la operación no quedan documentados los procesos que permiten garantizar la pista de auditoría (por ejemplo: procesos de gastos, procesos de pagos, procesos de contabilidad, de publicidad y de ejecución, entre otros).</t>
    </r>
    <r>
      <rPr>
        <b/>
        <sz val="14"/>
        <color theme="1"/>
        <rFont val="Aptos Narrow"/>
        <family val="2"/>
      </rPr>
      <t xml:space="preserve">  </t>
    </r>
  </si>
  <si>
    <r>
      <t xml:space="preserve">No se establece con precisión el método de cálculo de costes que debe aplicarse en las operaciones
</t>
    </r>
    <r>
      <rPr>
        <u/>
        <sz val="14"/>
        <color theme="1"/>
        <rFont val="Aptos Narrow"/>
        <family val="2"/>
      </rPr>
      <t xml:space="preserve">
Descripción detallada:
</t>
    </r>
    <r>
      <rPr>
        <b/>
        <sz val="14"/>
        <color theme="1"/>
        <rFont val="Aptos Narrow"/>
        <family val="2"/>
      </rPr>
      <t xml:space="preserve">
</t>
    </r>
    <r>
      <rPr>
        <sz val="14"/>
        <color theme="1"/>
        <rFont val="Aptos Narrow"/>
        <family val="2"/>
      </rPr>
      <t xml:space="preserve">El organismo no ha establecido de forma clara el método de cálculo de costes que aplica a la operación en la documentación previa (DECA, informe de necesidad ), de acuerdo con lo establecido en los artículos 53 y siguientes del RDC. </t>
    </r>
  </si>
  <si>
    <r>
      <t xml:space="preserve">El organismo no ha realizado una correcta revisión de la justificación de la ayuda
</t>
    </r>
    <r>
      <rPr>
        <u/>
        <sz val="14"/>
        <color theme="1"/>
        <rFont val="Aptos Narrow"/>
        <family val="2"/>
      </rPr>
      <t>Descripción detallada:</t>
    </r>
    <r>
      <rPr>
        <b/>
        <sz val="14"/>
        <color theme="1"/>
        <rFont val="Aptos Narrow"/>
        <family val="2"/>
      </rPr>
      <t xml:space="preserve">
</t>
    </r>
    <r>
      <rPr>
        <sz val="14"/>
        <color theme="1"/>
        <rFont val="Aptos Narrow"/>
        <family val="2"/>
      </rPr>
      <t>El organismo intermedio no revisa de forma adecuada la justificación de la ayuda concedida de acuerdo con lo establecido en la normativa correspondiente y/o en los manuales de justificación de la operación en cuestión.</t>
    </r>
  </si>
  <si>
    <t>¿Es de aplicación el método de gestión "Encomienda de Gestión"?</t>
  </si>
  <si>
    <t>COEFICIENTE RIESGO EX ANTE ASOCIADO A CONVENIOS</t>
  </si>
  <si>
    <t>GESTIÓN DIRECTA: ENCOMIENDAS DE GESTIÓN.</t>
  </si>
  <si>
    <t>GESTIÓN DIRECTA: CONVENIOS.</t>
  </si>
  <si>
    <t>¿Es de aplicación el método de gestión "Convenios"?</t>
  </si>
  <si>
    <r>
      <t xml:space="preserve">El convenio tiene por contenido prestaciones propias de los contratos.
</t>
    </r>
    <r>
      <rPr>
        <u/>
        <sz val="14"/>
        <color indexed="8"/>
        <rFont val="Aptos Narrow"/>
        <family val="2"/>
      </rPr>
      <t>Descripción detallada:</t>
    </r>
    <r>
      <rPr>
        <b/>
        <sz val="14"/>
        <color indexed="8"/>
        <rFont val="Aptos Narrow"/>
        <family val="2"/>
      </rPr>
      <t xml:space="preserve">
</t>
    </r>
    <r>
      <rPr>
        <sz val="14"/>
        <color theme="1"/>
        <rFont val="Aptos Narrow"/>
        <family val="2"/>
      </rPr>
      <t xml:space="preserve">
Existencia de convenios cuyo contenido son prestaciones que no son propias de este instrumento jurídico por su naturaleza, sino de un contrato, debiendo aplicarse la legislación de contratos del sector público.</t>
    </r>
  </si>
  <si>
    <r>
      <t xml:space="preserve">El convenio se ha celebrado con entidades privadas.
</t>
    </r>
    <r>
      <rPr>
        <u/>
        <sz val="14"/>
        <color indexed="8"/>
        <rFont val="Aptos Narrow"/>
        <family val="2"/>
      </rPr>
      <t>Descripción detallada</t>
    </r>
    <r>
      <rPr>
        <sz val="14"/>
        <color theme="1"/>
        <rFont val="Aptos Narrow"/>
        <family val="2"/>
      </rPr>
      <t>:
La existencia de convenios con entidades privadas es una señal de un riesgo potencial, tanto por la posibilidad de que se trate de un contrato encubierto como por el riesgo de que derive en excesos de financiación, entre otros.A la hora de seleccionar a la entidad para ser proveedoras de servicios objeto de convenios, el legislador establece que en análogas condiciones de eficacia, calidad y rentabilidad, se le otorga preferencia a las entidades privadas de carácter social, sin ánimo de lucro y en ausencia de las anteriores entidades, podrán contratar con el resto de entidades privadas con ánimo de lucro.</t>
    </r>
  </si>
  <si>
    <r>
      <t xml:space="preserve">Indicios de la existencia de algún tipo de vinculación entre las partes firmantes del convenio.
</t>
    </r>
    <r>
      <rPr>
        <u/>
        <sz val="14"/>
        <color indexed="8"/>
        <rFont val="Aptos Narrow"/>
        <family val="2"/>
      </rPr>
      <t>Descripción detallada</t>
    </r>
    <r>
      <rPr>
        <sz val="14"/>
        <color theme="1"/>
        <rFont val="Aptos Narrow"/>
        <family val="2"/>
      </rPr>
      <t>:
Existencia de algún tipo de vinculación entre las partes firmantes del convenio, que puede dar lugar a conflictos de interés.</t>
    </r>
  </si>
  <si>
    <r>
      <t xml:space="preserve">Celebración recurrente de convenios con las mismas entidades.
</t>
    </r>
    <r>
      <rPr>
        <u/>
        <sz val="14"/>
        <color indexed="8"/>
        <rFont val="Aptos Narrow"/>
        <family val="2"/>
      </rPr>
      <t>Descripción detallada</t>
    </r>
    <r>
      <rPr>
        <sz val="14"/>
        <color theme="1"/>
        <rFont val="Aptos Narrow"/>
        <family val="2"/>
      </rPr>
      <t>:
En este caso, se considera recurrente cuando los convenios se repiten en los mismos términos con respecto a ejercicios anteriores con las mismas entidades, o en el mismo ejercicio, sin motivo aparente</t>
    </r>
  </si>
  <si>
    <r>
      <t xml:space="preserve">Falta de competencia legal.
</t>
    </r>
    <r>
      <rPr>
        <u/>
        <sz val="14"/>
        <color indexed="8"/>
        <rFont val="Aptos Narrow"/>
        <family val="2"/>
      </rPr>
      <t>Descripción detallada</t>
    </r>
    <r>
      <rPr>
        <sz val="14"/>
        <color theme="1"/>
        <rFont val="Aptos Narrow"/>
        <family val="2"/>
      </rPr>
      <t>:
El órgano que suscribe el convenio no tiene competencia para ello. La Ley 40/2015 establece los órganos competentes para convenir.</t>
    </r>
  </si>
  <si>
    <r>
      <t xml:space="preserve">Incumplimiento del procedimiento de formalización para la firma del convenio.
</t>
    </r>
    <r>
      <rPr>
        <u/>
        <sz val="14"/>
        <color indexed="8"/>
        <rFont val="Aptos Narrow"/>
        <family val="2"/>
      </rPr>
      <t xml:space="preserve">Descripción detallada:
</t>
    </r>
    <r>
      <rPr>
        <sz val="14"/>
        <color theme="1"/>
        <rFont val="Aptos Narrow"/>
        <family val="2"/>
      </rPr>
      <t xml:space="preserve">No se ha seguido el procedimiento legal prescindiendo de los trámites preceptivos para la firma de convenios según lo establecido en el Capítulo VI de la ley 40/2015 de Ley 40/2015, de 1 de octubre, de Régimen Jurídico del Sector Público, y en el art. 16 de la Ley 38/2003, de 17 de noviembre, General de Subvenciones. </t>
    </r>
  </si>
  <si>
    <r>
      <t xml:space="preserve">Incumplimiento de la obligación de garantizar la concurrencia cuando la ejecución del convenio de colaboración se está llevando a cabo por terceros.
</t>
    </r>
    <r>
      <rPr>
        <u/>
        <sz val="14"/>
        <color indexed="8"/>
        <rFont val="Aptos Narrow"/>
        <family val="2"/>
      </rPr>
      <t xml:space="preserve">Descripción detallada:
</t>
    </r>
    <r>
      <rPr>
        <sz val="14"/>
        <color theme="1"/>
        <rFont val="Aptos Narrow"/>
        <family val="2"/>
      </rPr>
      <t xml:space="preserve">
La entidad colaboradora que, en su caso, desee negociar o contratar a proveedores, no garantiza la elección de los mismos a través de un proceso de concurrencia competitiva. Además, en el texto del convenio no se incluyen cláusulas que establezcan la obligación de comunicar cualquier subcontratación que se realice.</t>
    </r>
  </si>
  <si>
    <r>
      <t xml:space="preserve">Incumplimiento de los deberes de información y comunicación de apoyo del FSE+.
</t>
    </r>
    <r>
      <rPr>
        <u/>
        <sz val="14"/>
        <color indexed="8"/>
        <rFont val="Aptos Narrow"/>
        <family val="2"/>
      </rPr>
      <t xml:space="preserve">Descripción detallada:
</t>
    </r>
    <r>
      <rPr>
        <sz val="14"/>
        <color theme="1"/>
        <rFont val="Aptos Narrow"/>
        <family val="2"/>
      </rPr>
      <t xml:space="preserve">
Se produce un incumplimiento de los deberes de información y comunicación contenidos en los diferentes textos normativos, tanto nacionales como europeos, en particular de las obligaciones en este ámbito contenidas en Anexo IX del RDC.</t>
    </r>
  </si>
  <si>
    <r>
      <t xml:space="preserve">El organismo no ha realizado una correcta documentación de la operación que permita garantizar la pista de auditoría.
</t>
    </r>
    <r>
      <rPr>
        <u/>
        <sz val="14"/>
        <color theme="1"/>
        <rFont val="Aptos Narrow"/>
        <family val="2"/>
      </rPr>
      <t xml:space="preserve">Descripción detallada:
</t>
    </r>
    <r>
      <rPr>
        <sz val="14"/>
        <color theme="1"/>
        <rFont val="Aptos Narrow"/>
        <family val="2"/>
      </rPr>
      <t xml:space="preserve">
En el expediente de la operación no quedan documentados los procesos que permiten garantizar la pista de auditoría (por ejemplo: procesos de gastos, procesos de pagos, procesos de contabilidad, de publicidad y de ejecución, entre otros).  </t>
    </r>
  </si>
  <si>
    <r>
      <t xml:space="preserve">No se establece con precisión el método de cálculo de costes que debe aplicarse en las operaciones.
</t>
    </r>
    <r>
      <rPr>
        <u/>
        <sz val="14"/>
        <color theme="1"/>
        <rFont val="Aptos Narrow"/>
        <family val="2"/>
      </rPr>
      <t xml:space="preserve">
Descripción detallada:
</t>
    </r>
    <r>
      <rPr>
        <b/>
        <sz val="14"/>
        <color theme="1"/>
        <rFont val="Aptos Narrow"/>
        <family val="2"/>
      </rPr>
      <t xml:space="preserve">
</t>
    </r>
    <r>
      <rPr>
        <sz val="14"/>
        <color theme="1"/>
        <rFont val="Aptos Narrow"/>
        <family val="2"/>
      </rPr>
      <t xml:space="preserve">El organismo no ha establecido de forma clara el método de cálculo de costes que aplica a la operación en la documentación previa (DECA, convenio firmado, …)  , de acuerdo con lo establecido en los artículos 53 y siguientes del RDC. </t>
    </r>
  </si>
  <si>
    <r>
      <t xml:space="preserve">El organismo no ha realizado una correcta revisión de la justificación de la ayuda.
</t>
    </r>
    <r>
      <rPr>
        <u/>
        <sz val="14"/>
        <color theme="1"/>
        <rFont val="Aptos Narrow"/>
        <family val="2"/>
      </rPr>
      <t>Descripción detallada:</t>
    </r>
    <r>
      <rPr>
        <b/>
        <sz val="14"/>
        <color theme="1"/>
        <rFont val="Aptos Narrow"/>
        <family val="2"/>
      </rPr>
      <t xml:space="preserve">
</t>
    </r>
    <r>
      <rPr>
        <sz val="14"/>
        <color theme="1"/>
        <rFont val="Aptos Narrow"/>
        <family val="2"/>
      </rPr>
      <t>El organismo intermedio no revisa de forma adecuada la justificación de la ayuda concedida de acuerdo con lo establecido en la normativa correspondiente y/o en los manuales de justificación de la operación en cuestión.</t>
    </r>
  </si>
  <si>
    <t>GESTIÓN DIRECTA: CONCIERTOS.</t>
  </si>
  <si>
    <t>COEFICIENTE RIESGO EX ANTE ASOCIADO A CONCIERTOS</t>
  </si>
  <si>
    <t>¿Es de aplicación el método de gestión "Concierto"?</t>
  </si>
  <si>
    <r>
      <t xml:space="preserve">El concierto tiene por contenido prestaciones propias de los contratos.
</t>
    </r>
    <r>
      <rPr>
        <u/>
        <sz val="14"/>
        <color indexed="8"/>
        <rFont val="Aptos Narrow"/>
        <family val="2"/>
      </rPr>
      <t xml:space="preserve">Descripción detallada:
</t>
    </r>
    <r>
      <rPr>
        <b/>
        <sz val="14"/>
        <color indexed="8"/>
        <rFont val="Aptos Narrow"/>
        <family val="2"/>
      </rPr>
      <t xml:space="preserve">
</t>
    </r>
    <r>
      <rPr>
        <sz val="14"/>
        <color theme="1"/>
        <rFont val="Aptos Narrow"/>
        <family val="2"/>
      </rPr>
      <t>Existencia de conciertos cuyo contenido son prestaciones que no son propias de este instrumento jurídico por su naturaleza, sino de un contrato, debiendo aplicarse la legislación de contratos del sector público.</t>
    </r>
  </si>
  <si>
    <r>
      <t xml:space="preserve">Falta de trámites preceptivos.
</t>
    </r>
    <r>
      <rPr>
        <u/>
        <sz val="14"/>
        <color indexed="8"/>
        <rFont val="Aptos Narrow"/>
        <family val="2"/>
      </rPr>
      <t>Descripción detallada</t>
    </r>
    <r>
      <rPr>
        <sz val="14"/>
        <color theme="1"/>
        <rFont val="Aptos Narrow"/>
        <family val="2"/>
      </rPr>
      <t>:
El concierto se ha suscrito prescindiendo de trámites preceptivos correspondientes, como pueden ser: obligaciones en publicidad e informes preceptivos que establezca la normativa autonómica y/o nacional aplicable así como las autorizaciones previas que procedan en cada caso, teniendo en cuenta las especialidades a este respecto que pueda introducir la normativa autonómica correspondiente.</t>
    </r>
  </si>
  <si>
    <r>
      <t xml:space="preserve">Incumplimiento de la obligación de garantizar la concurrencia y resto de principios aplicables en la selección de la entidad colaboradora de derecho privado.
</t>
    </r>
    <r>
      <rPr>
        <u/>
        <sz val="14"/>
        <color indexed="8"/>
        <rFont val="Aptos Narrow"/>
        <family val="2"/>
      </rPr>
      <t xml:space="preserve">Descripción detallada:
</t>
    </r>
    <r>
      <rPr>
        <sz val="14"/>
        <color theme="1"/>
        <rFont val="Aptos Narrow"/>
        <family val="2"/>
      </rPr>
      <t>En la selección de entidades para la prestación del servicio no se ha seguido un procedimiento sometido a los principios de publicidad, concurrencia, igualdad y no discriminación, de acuerdo con lo establecido en la regulación nacional y/o autonómica correspondiente.</t>
    </r>
  </si>
  <si>
    <r>
      <t xml:space="preserve">Manipulación en la valoración de las solicitudes presentadas.
</t>
    </r>
    <r>
      <rPr>
        <u/>
        <sz val="14"/>
        <color indexed="8"/>
        <rFont val="Aptos Narrow"/>
        <family val="2"/>
      </rPr>
      <t xml:space="preserve">Descripción detallada:
</t>
    </r>
    <r>
      <rPr>
        <sz val="14"/>
        <color theme="1"/>
        <rFont val="Aptos Narrow"/>
        <family val="2"/>
      </rPr>
      <t>Manipulación del procedimiento de concesión en favor de una entidad o en detrimento de otro o varias así como producen reclamaciones o quejas por escrito referidas a posibles manipulaciones de las solicitudes presentadas.</t>
    </r>
  </si>
  <si>
    <r>
      <t xml:space="preserve">Indicios de la existencia de algún tipo de vinculación entre las partes firmantes del concierto.
</t>
    </r>
    <r>
      <rPr>
        <u/>
        <sz val="14"/>
        <color indexed="8"/>
        <rFont val="Aptos Narrow"/>
        <family val="2"/>
      </rPr>
      <t xml:space="preserve">Descripción detallada:
</t>
    </r>
    <r>
      <rPr>
        <sz val="14"/>
        <color theme="1"/>
        <rFont val="Aptos Narrow"/>
        <family val="2"/>
      </rPr>
      <t xml:space="preserve">
Existencia de algún tipo de vinculación entre las partes firmantes del concierto que puede dar lugar a conflictos de interés.</t>
    </r>
  </si>
  <si>
    <t>El objeto del concierto no corresponde a esa figura jurídica</t>
  </si>
  <si>
    <t>Incumplimiento del procedimiento o de los requisito legales del concierto</t>
  </si>
  <si>
    <t>Limitación a la concurrencia en la selección de entidades colaboradoras</t>
  </si>
  <si>
    <t>Formalización incorrecta del concierto</t>
  </si>
  <si>
    <t>Conflictos de Interés</t>
  </si>
  <si>
    <r>
      <t xml:space="preserve">Modificaciones del concierto sin cumplir los requisitos legales ni estar justificadas.
</t>
    </r>
    <r>
      <rPr>
        <u/>
        <sz val="14"/>
        <color theme="1"/>
        <rFont val="Aptos Narrow"/>
        <family val="2"/>
      </rPr>
      <t>Descripción detallada:</t>
    </r>
    <r>
      <rPr>
        <b/>
        <sz val="14"/>
        <color theme="1"/>
        <rFont val="Aptos Narrow"/>
        <family val="2"/>
      </rPr>
      <t xml:space="preserve">
</t>
    </r>
    <r>
      <rPr>
        <sz val="14"/>
        <color theme="1"/>
        <rFont val="Aptos Narrow"/>
        <family val="2"/>
      </rPr>
      <t xml:space="preserve">
Esta situación puede tener lugar cuando se producen modificaciones en la prestación sin estar previstas en la convocatoria y/o en el documento jurídico que constituye el concierto y sin responder a prestaciones adicionales, circunstancias imprevistas y modificaciones no sustanciales previstas en la regulación nacional y/o autonómica que resulte de aplicación. Así mismo, pueden producirse cuando se modifican las tarifas del concierto y/o se amplía su plazo de ejecución incumpliendo los requisitos y/o trámites para ello. </t>
    </r>
  </si>
  <si>
    <r>
      <t xml:space="preserve">Los criterios de valoración no están suficientemente detallados, no se encuentran recogidos en la convocatoria pública o son discriminatorios, ilícitos o no son adecuados para seleccionar la entidad.
</t>
    </r>
    <r>
      <rPr>
        <u/>
        <sz val="14"/>
        <color indexed="8"/>
        <rFont val="Aptos Narrow"/>
        <family val="2"/>
      </rPr>
      <t xml:space="preserve">Descripción detallada:
</t>
    </r>
    <r>
      <rPr>
        <sz val="14"/>
        <color theme="1"/>
        <rFont val="Aptos Narrow"/>
        <family val="2"/>
      </rPr>
      <t xml:space="preserve">
En la convocatoria no se incluyen o están redactados de forma ambigua, poco clara y/o abierta, o directamente resultan discriminatorios o ilícitos, los criterios de valoración y selección de las entidades y/o su ponderación, lo que da lugar a falta de transparencia y objetividad en la selección de la entidad colaboradora.</t>
    </r>
  </si>
  <si>
    <r>
      <t xml:space="preserve">Incumplimiento de los deberes de información y comunicación de apoyo del FSE+.
</t>
    </r>
    <r>
      <rPr>
        <u/>
        <sz val="14"/>
        <color indexed="8"/>
        <rFont val="Aptos Narrow"/>
        <family val="2"/>
      </rPr>
      <t xml:space="preserve">Descripción detallada:
</t>
    </r>
    <r>
      <rPr>
        <sz val="14"/>
        <color theme="1"/>
        <rFont val="Aptos Narrow"/>
        <family val="2"/>
      </rPr>
      <t xml:space="preserve">
La entidad colaboradora incumple las obligaciones a las que queda sujeto en materia de información y publicidad del Fondo Social Europeo Plus. Tanto el organismo que realiza una convocatoria como los concesionarios están compelidos a informar y difundir que dichas ayudas u operaciones están financiadas con cargo al FSE+, y deben cumplir lo establecido en las disposiciones europeas al respecto (Artículos 46, 47 y 50 del RDC).</t>
    </r>
  </si>
  <si>
    <r>
      <t xml:space="preserve">Incumplimiento del procedimiento de formalización para la firma del concierto.
</t>
    </r>
    <r>
      <rPr>
        <u/>
        <sz val="14"/>
        <color indexed="8"/>
        <rFont val="Aptos Narrow"/>
        <family val="2"/>
      </rPr>
      <t xml:space="preserve">Descripción detallada:
</t>
    </r>
    <r>
      <rPr>
        <sz val="14"/>
        <color theme="1"/>
        <rFont val="Aptos Narrow"/>
        <family val="2"/>
      </rPr>
      <t xml:space="preserve">
Una vez resulta la adjudicación (directa o a través de la licitación de una convocatoria), el concierto social se debe formalizar en un documento administrativo, en un plazo entre diez y treinta días. Dicho documento será publicado por el mismo medio que el establecido en la convocatoria y debe cumplir unos contenidos mínimos.</t>
    </r>
  </si>
  <si>
    <r>
      <t xml:space="preserve">Celebración de conciertos recurrentes con las mismas entidades.
</t>
    </r>
    <r>
      <rPr>
        <u/>
        <sz val="14"/>
        <color indexed="8"/>
        <rFont val="Aptos Narrow"/>
        <family val="2"/>
      </rPr>
      <t xml:space="preserve">Descripción detallada:
</t>
    </r>
    <r>
      <rPr>
        <sz val="14"/>
        <color theme="1"/>
        <rFont val="Aptos Narrow"/>
        <family val="2"/>
      </rPr>
      <t xml:space="preserve">
Existencia de conciertos que se repiten con las mismas entidades sin que esté claramente justificado, en especial si se trata de entidades privadas con ánimo de lucro.
A la hora de seleccionar a la entidad para ser proveedoras de servicios objeto de concierto, el legislador establece que en análogas condiciones de eficacia, calidad y rentabilidad, se le otorga preferencia a las entidades privadas de carácter social, sin ánimo de lucro y en ausencia de las anteriores entidades, podrán contratar con el resto de entidades privadas con ánimo de lucro.</t>
    </r>
  </si>
  <si>
    <r>
      <t xml:space="preserve">El organismo no ha realizado una correcta documentación de la operación que permita garantizar la pista de auditoría.
</t>
    </r>
    <r>
      <rPr>
        <u/>
        <sz val="14"/>
        <color theme="1"/>
        <rFont val="Aptos Narrow"/>
        <family val="2"/>
      </rPr>
      <t xml:space="preserve">Descripción detallada:
</t>
    </r>
    <r>
      <rPr>
        <b/>
        <sz val="14"/>
        <color theme="1"/>
        <rFont val="Aptos Narrow"/>
        <family val="2"/>
      </rPr>
      <t xml:space="preserve">
</t>
    </r>
    <r>
      <rPr>
        <sz val="14"/>
        <color theme="1"/>
        <rFont val="Aptos Narrow"/>
        <family val="2"/>
      </rPr>
      <t xml:space="preserve">En el expediente de la operación no quedan documentados los procesos que permiten garantizar la pista de auditoría (por ejemplo: procesos de gastos, procesos de pagos, procesos de contabilidad, de publicidad y de ejecución, entre otros).  </t>
    </r>
  </si>
  <si>
    <r>
      <t xml:space="preserve">No se establece con precisión el método de cálculo de costes que debe aplicarse en las operaciones.
</t>
    </r>
    <r>
      <rPr>
        <u/>
        <sz val="14"/>
        <color theme="1"/>
        <rFont val="Aptos Narrow"/>
        <family val="2"/>
      </rPr>
      <t>Descripción detallada:</t>
    </r>
    <r>
      <rPr>
        <sz val="14"/>
        <color theme="1"/>
        <rFont val="Aptos Narrow"/>
        <family val="2"/>
      </rPr>
      <t xml:space="preserve">
El organismo no ha establecido de forma clara el método de cálculo de costes que aplica a la operación en la memoria y/o convocatoria del concierto, de acuerdo con lo establecido en los artículos 53 y siguientes del RDC. </t>
    </r>
  </si>
  <si>
    <r>
      <t xml:space="preserve">El organismo no ha realizado una correcta revisión de la justificación de la ayuda.
</t>
    </r>
    <r>
      <rPr>
        <b/>
        <u/>
        <sz val="14"/>
        <color theme="1"/>
        <rFont val="Aptos Narrow"/>
        <family val="2"/>
      </rPr>
      <t xml:space="preserve">
</t>
    </r>
    <r>
      <rPr>
        <u/>
        <sz val="14"/>
        <color theme="1"/>
        <rFont val="Aptos Narrow"/>
        <family val="2"/>
      </rPr>
      <t xml:space="preserve">Descripción detallada:
</t>
    </r>
    <r>
      <rPr>
        <sz val="14"/>
        <color theme="1"/>
        <rFont val="Aptos Narrow"/>
        <family val="2"/>
      </rPr>
      <t xml:space="preserve">
El órgano concertante no revisa de forma adecuada la justificación de la ayuda regulada en el concierto incumpliendo lo establecido en la normativa correspondiente y/o en los manuales de justificación de la operación en cuestión.</t>
    </r>
  </si>
  <si>
    <t>COEFICIENTE RIESGO EX ANTE ASOCIADO A ENCARGO A MEDIO PROPIO</t>
  </si>
  <si>
    <t>En relación con su organización:
- ¿Es la primera vez que su entidad ha sido designada como Organismo Intermedio del Fondo Social Europeo?
- En el caso de que haya sido designado por primera vez como Organismo Intermedio del Fondo Social Europeo, ¿es la primera vez que cumplimenta la matriz ex ante?</t>
  </si>
  <si>
    <t>En relación con su organización:
- ¿Es la primera vez que su entidad ha sido designada como Organismo Intermedio  del Fondo Social Europeo?
- En el caso de que haya sido designado por primera vez como Organismo Intermedio del Fondo Social Europeo, ¿es la primera vez que cumplimenta la matriz ex ante?</t>
  </si>
  <si>
    <t>Categorización del Riesgo (1-2)</t>
  </si>
  <si>
    <t>¿Se ha diseñado o implantado algún control para  mitigar el riesgo?</t>
  </si>
  <si>
    <t>● Revisión por parte del servicio jurídico o persona indePendiente al órgano de contratación de la documentación inicial de cualquier procedimiento de contratación que garantice un procedimiento abierto y competitivo, así como la participación de diversos licitadores.  
● Disponer de una política en materia de conflicto de interés que incluya una declaración anual y su registro por parte de todo el personal, y aplique medidas dirigidas a garantizar su cumplimiento.</t>
  </si>
  <si>
    <t>● Revisión por parte del servicio jurídico o persona indePendiente al órgano de contratación de la documentación inicial de cualquier procedimiento de contratación que garantice la no manipulación del procedimiento y el establecimiento en los pliegos de prescripciones justas y proporcionadas para la correcta ejecución del objeto del contrato. 
● Disponer de una política en materia de conflicto de interés que incluya una declaración anual y su registro por parte de todo el personal, y aplique medidas dirigidas a garantizar su cumplimiento.</t>
  </si>
  <si>
    <t>● Revisión por parte del servicio jurídico o persona indePendiente al órgano de contratación de la documentación inicial de cualquier procedimiento de contratación que garantice la no manipulación del procedimiento y el cumplimiento del número mínimo de ofertas presentadas. 
● Disponer de una política en materia de conflicto de interés que incluya una declaración anual y su registro por parte de todo el personal, y aplique medidas dirigidas a garantizar su cumplimiento.</t>
  </si>
  <si>
    <t>● Revisión e informe por parte del servicio jurídico o persona indePendiente de la documentación inicial de cualquier procedimiento de contratación.
● Registro e informe de las quejas o reclamaciones recibidas por parte de otros ofertantes y análisis de las mismas.</t>
  </si>
  <si>
    <t>● Disponer de una política en materia de conflicto de interés que incluya un código ético, un procedimiento para abordar conflictos de intereses, una Declaración de Ausencia de Conflicto de Interés (DACI) por parte de todos los intervinientes en el convenio y la verificación de su contenido, cuando proceda, así como medidas dirigidas a garantizar su cumplimiento.
● Revisión y documentación mediante la información obtenida de bases de datos externas e indePendientes (Informa u otras bases de datos empresariales, Amadeus, etc.) sobre la posible vinculación entre las partes.
● Comprobación de la no vinculación mediante la revisión de los estatutos de las partes.</t>
  </si>
  <si>
    <t>● Revisar y documentar la posible vinculación entre las partes mediante la revisión de sus estatuto o actos de constitución, la información obtenida de bases de datos externas e indePendientes.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el expediente se incluyen las DACI cumplimentadas por los intervinientes en la licitación por parte del órgano de contratación</t>
  </si>
  <si>
    <t>Bandera cuya materialización tiene un impacto negativo en la solicitud de reembolso o en la presentación de operaciones y/o proyectos que se vaya a realizar. Su materialización impide que pueda continuarse con la presentación de gasto.</t>
  </si>
  <si>
    <t>Cuánto de crÍtico/importante es el riesgo.La puntuación asignada responde a una escala de 1 a 2, siendo 2 el riesgo más crítico. La categorización del riesgo es un valor fijo que no varía y que queda establecida de la siguiente manera:</t>
  </si>
  <si>
    <t xml:space="preserve">25,00 % - 49,99 % </t>
  </si>
  <si>
    <t>10,00 % - 24,99 %</t>
  </si>
  <si>
    <r>
      <t xml:space="preserve">Debe tenerse en cuenta que si el riesgo resulta "Muy Alto" no hay opción a tener control implantado por lo que la respuesta debe ser </t>
    </r>
    <r>
      <rPr>
        <b/>
        <sz val="12"/>
        <color theme="1"/>
        <rFont val="Aptos Narrow"/>
        <family val="2"/>
      </rPr>
      <t>"NO"</t>
    </r>
    <r>
      <rPr>
        <sz val="12"/>
        <color theme="1"/>
        <rFont val="Aptos Narrow"/>
        <family val="2"/>
      </rPr>
      <t>.</t>
    </r>
  </si>
  <si>
    <t>5,40 ≤ Puntuación  ≤  10,80</t>
  </si>
  <si>
    <t>2,70 ≤ Puntuación &lt;  5,40</t>
  </si>
  <si>
    <t>1,35 ≤ Puntuación &lt;  2,70</t>
  </si>
  <si>
    <t>0 ≤ Puntuación &lt; 1,35</t>
  </si>
  <si>
    <t xml:space="preserve">Assesment &lt; 40%  </t>
  </si>
  <si>
    <t>40% ≤ Assesment &lt; 60%</t>
  </si>
  <si>
    <t>60% ≤ Assesment &lt; 80%</t>
  </si>
  <si>
    <t>80% ≤ Assesment &lt; 100%</t>
  </si>
  <si>
    <t>Media de las puntuaciones totales finales de los riesgos con respecto a la puntuación máxima que se puede obtener en la valoración de un riesgo (4 de métrica de categorización x 3 de impacto x 90% de probabilidad del suceso=10,80).</t>
  </si>
  <si>
    <t xml:space="preserve"> ≤ 9,99 %</t>
  </si>
  <si>
    <t>≥ 50%</t>
  </si>
  <si>
    <t>Impacto del Riesgo
 (1-3)</t>
  </si>
  <si>
    <t>En relación con la bandera roja: 
- ¿La entidad ha estado afectada por algún procedimiento de reserva y/o suspensión o presuspensión en los últimos tres años? ¿ La entidad ha estado inmersa en algún procedimiento de penalización en una convocatoria de subvenciones y/o procedimiento de contratación y/o procedimiento irregular relacionado con la Administración Pública en materia de subvenciones y/o contratación y/o medios propios y/o encargos y/o encomienda y/o convenios y/o conciertos?</t>
  </si>
  <si>
    <r>
      <rPr>
        <b/>
        <sz val="12"/>
        <rFont val="Aptos Narrow"/>
        <family val="2"/>
      </rPr>
      <t>Categoría 2</t>
    </r>
    <r>
      <rPr>
        <sz val="12"/>
        <rFont val="Aptos Narrow"/>
        <family val="2"/>
      </rPr>
      <t>, asignada a aquellos riesgos compuestos por,</t>
    </r>
    <r>
      <rPr>
        <b/>
        <sz val="12"/>
        <rFont val="Aptos Narrow"/>
        <family val="2"/>
      </rPr>
      <t xml:space="preserve"> al menos</t>
    </r>
    <r>
      <rPr>
        <sz val="12"/>
        <rFont val="Aptos Narrow"/>
        <family val="2"/>
      </rPr>
      <t>, una</t>
    </r>
    <r>
      <rPr>
        <b/>
        <sz val="12"/>
        <rFont val="Aptos Narrow"/>
        <family val="2"/>
      </rPr>
      <t xml:space="preserve"> bandera dominante y/o excluyente. </t>
    </r>
    <r>
      <rPr>
        <sz val="12"/>
        <rFont val="Aptos Narrow"/>
        <family val="2"/>
      </rPr>
      <t>A esta categoría de riesgo le corresponde una métrica o puntuación de “</t>
    </r>
    <r>
      <rPr>
        <b/>
        <sz val="12"/>
        <rFont val="Aptos Narrow"/>
        <family val="2"/>
      </rPr>
      <t>4</t>
    </r>
    <r>
      <rPr>
        <sz val="12"/>
        <rFont val="Aptos Narrow"/>
        <family val="2"/>
      </rPr>
      <t xml:space="preserve">”. </t>
    </r>
  </si>
  <si>
    <r>
      <rPr>
        <b/>
        <sz val="12"/>
        <rFont val="Aptos Narrow"/>
        <family val="2"/>
      </rPr>
      <t>Categoría 1</t>
    </r>
    <r>
      <rPr>
        <sz val="12"/>
        <rFont val="Aptos Narrow"/>
        <family val="2"/>
      </rPr>
      <t xml:space="preserve">, asignada a aquellos riesgos que sólo se componen de </t>
    </r>
    <r>
      <rPr>
        <b/>
        <sz val="12"/>
        <rFont val="Aptos Narrow"/>
        <family val="2"/>
      </rPr>
      <t>banderas ordinarias</t>
    </r>
    <r>
      <rPr>
        <sz val="12"/>
        <rFont val="Aptos Narrow"/>
        <family val="2"/>
      </rPr>
      <t>. A esta categoría de riesgo le corresponde una métrica o puntuación de “</t>
    </r>
    <r>
      <rPr>
        <b/>
        <sz val="12"/>
        <rFont val="Aptos Narrow"/>
        <family val="2"/>
      </rPr>
      <t>3</t>
    </r>
    <r>
      <rPr>
        <sz val="12"/>
        <rFont val="Aptos Narrow"/>
        <family val="2"/>
      </rPr>
      <t xml:space="preserve">”. </t>
    </r>
  </si>
  <si>
    <t>Grado de impacto del riesgo en la certificación de los gastos de la operación por parte de la Autoridad de Certificación. La puntuación se asigna en una escala de 1 a 3, a cada una de las banderas, siendo 3 el impacto mayor. El impacto del riesgo es un valor fijo que no varía y que queda establecido de la siguiente manera:</t>
  </si>
  <si>
    <r>
      <rPr>
        <b/>
        <sz val="12"/>
        <color theme="1"/>
        <rFont val="Aptos Narrow"/>
        <family val="2"/>
      </rPr>
      <t>Impacto 2</t>
    </r>
    <r>
      <rPr>
        <sz val="12"/>
        <color theme="1"/>
        <rFont val="Aptos Narrow"/>
        <family val="2"/>
      </rPr>
      <t>, asociado a las</t>
    </r>
    <r>
      <rPr>
        <b/>
        <sz val="12"/>
        <color theme="1"/>
        <rFont val="Aptos Narrow"/>
        <family val="2"/>
      </rPr>
      <t xml:space="preserve"> banderas dominantes</t>
    </r>
    <r>
      <rPr>
        <sz val="12"/>
        <color theme="1"/>
        <rFont val="Aptos Narrow"/>
        <family val="2"/>
      </rPr>
      <t>. A este grado de impacto le corresponde una métrica o puntuación de “</t>
    </r>
    <r>
      <rPr>
        <b/>
        <sz val="12"/>
        <color theme="1"/>
        <rFont val="Aptos Narrow"/>
        <family val="2"/>
      </rPr>
      <t>2</t>
    </r>
    <r>
      <rPr>
        <sz val="12"/>
        <color theme="1"/>
        <rFont val="Aptos Narrow"/>
        <family val="2"/>
      </rPr>
      <t>”.</t>
    </r>
  </si>
  <si>
    <r>
      <rPr>
        <b/>
        <sz val="12"/>
        <color theme="1"/>
        <rFont val="Aptos Narrow"/>
        <family val="2"/>
      </rPr>
      <t>Impacto 3</t>
    </r>
    <r>
      <rPr>
        <sz val="12"/>
        <color theme="1"/>
        <rFont val="Aptos Narrow"/>
        <family val="2"/>
      </rPr>
      <t xml:space="preserve">, asociado a las </t>
    </r>
    <r>
      <rPr>
        <b/>
        <sz val="12"/>
        <color theme="1"/>
        <rFont val="Aptos Narrow"/>
        <family val="2"/>
      </rPr>
      <t>banderas excluyentes</t>
    </r>
    <r>
      <rPr>
        <sz val="12"/>
        <color theme="1"/>
        <rFont val="Aptos Narrow"/>
        <family val="2"/>
      </rPr>
      <t>. A este grado de impacto le corresponde una métrica o puntuación de “</t>
    </r>
    <r>
      <rPr>
        <b/>
        <sz val="12"/>
        <color theme="1"/>
        <rFont val="Aptos Narrow"/>
        <family val="2"/>
      </rPr>
      <t>3</t>
    </r>
    <r>
      <rPr>
        <sz val="12"/>
        <color theme="1"/>
        <rFont val="Aptos Narrow"/>
        <family val="2"/>
      </rPr>
      <t>”.</t>
    </r>
  </si>
  <si>
    <r>
      <rPr>
        <b/>
        <sz val="12"/>
        <color theme="1"/>
        <rFont val="Aptos Narrow"/>
        <family val="2"/>
      </rPr>
      <t>Impacto 1</t>
    </r>
    <r>
      <rPr>
        <sz val="12"/>
        <color theme="1"/>
        <rFont val="Aptos Narrow"/>
        <family val="2"/>
      </rPr>
      <t xml:space="preserve">, asociado a las </t>
    </r>
    <r>
      <rPr>
        <b/>
        <sz val="12"/>
        <color theme="1"/>
        <rFont val="Aptos Narrow"/>
        <family val="2"/>
      </rPr>
      <t>banderas ordinarias</t>
    </r>
    <r>
      <rPr>
        <sz val="12"/>
        <color theme="1"/>
        <rFont val="Aptos Narrow"/>
        <family val="2"/>
      </rPr>
      <t>. A este grado de impacto le corresponde una métrica o puntuación de “</t>
    </r>
    <r>
      <rPr>
        <b/>
        <sz val="12"/>
        <color theme="1"/>
        <rFont val="Aptos Narrow"/>
        <family val="2"/>
      </rPr>
      <t>1,5</t>
    </r>
    <r>
      <rPr>
        <sz val="12"/>
        <color theme="1"/>
        <rFont val="Aptos Narrow"/>
        <family val="2"/>
      </rPr>
      <t>”.</t>
    </r>
  </si>
  <si>
    <t>Assesment = 100%</t>
  </si>
  <si>
    <t>Sobrestimación de la calidad o de las actividades del personal</t>
  </si>
  <si>
    <t>Riesgo 3. "Sobrestimación de la calidad o de las actividades del personal"</t>
  </si>
  <si>
    <r>
      <t xml:space="preserve">Posible fraccionamiento del contrato en dos o más procedimientos con idéntico adjudicatario evitando la utilización del procedimiento que hubiese correspondido según la cuantía total, procedimiento que requiere mayores garantías de concurrencia y de publicidad. 
</t>
    </r>
    <r>
      <rPr>
        <u/>
        <sz val="14"/>
        <color theme="1"/>
        <rFont val="Aptos Narrow"/>
        <family val="2"/>
      </rPr>
      <t>Descripción detallada:</t>
    </r>
    <r>
      <rPr>
        <b/>
        <sz val="14"/>
        <color theme="1"/>
        <rFont val="Aptos Narrow"/>
        <family val="2"/>
      </rPr>
      <t xml:space="preserve">
</t>
    </r>
    <r>
      <rPr>
        <sz val="14"/>
        <color theme="1"/>
        <rFont val="Aptos Narrow"/>
        <family val="2"/>
      </rPr>
      <t xml:space="preserve">
Cuando se fracciona un contrato en dos o más contratos menores con objeto similar a idéntico adjudicatario o se fracciona un contrato en diferentes obras, servicios o suministros asociados a un mismo objeto indePendientemente de si el adjudicatario de dichos contratos es único o varios.
Se realizan contratos secuenciales con idéntico adjudicatario evitando la utilización del procedimiento que hubiese correspondido según la cuantía total, procedimiento que requiere mayores garantías de concurrencia y de publicidad.
Se llevan a cabo compras secuenciales por medio de adjudicaciones directas en cortos plazos de tiempo.</t>
    </r>
  </si>
  <si>
    <r>
      <t xml:space="preserve">Incumplimiento de los deberes de información y comunicación del apoyo del FSE + a las medidas financiadas.
</t>
    </r>
    <r>
      <rPr>
        <u/>
        <sz val="14"/>
        <color indexed="8"/>
        <rFont val="Aptos Narrow"/>
        <family val="2"/>
      </rPr>
      <t>Descripción detallada:</t>
    </r>
    <r>
      <rPr>
        <sz val="14"/>
        <color theme="1"/>
        <rFont val="Aptos Narrow"/>
        <family val="2"/>
      </rPr>
      <t xml:space="preserve">
Se produce un incumplimiento de los deberes de información y comunicación contenidos en los diferentes textos normativos, tanto nacionales como europeos, en particular de las obligaciones en este ámbito contenidas en los artículos 46, 47 y 50 del Reglamento (UE) 2021/1060, del Parlamento Europeo y del Consejo, de 24 de junio de 2021, por el que se establecen las disposiciones comunes relativas al Fondo Social Europeo Plus.</t>
    </r>
  </si>
  <si>
    <r>
      <t xml:space="preserve">Falta de realización de las actuaciones objeto del concierto sin causa justificada o falta de liquidación de las aportaciones financieras.
</t>
    </r>
    <r>
      <rPr>
        <u/>
        <sz val="14"/>
        <color theme="1"/>
        <rFont val="Aptos Narrow"/>
        <family val="2"/>
      </rPr>
      <t>Descripción detallada:</t>
    </r>
    <r>
      <rPr>
        <sz val="14"/>
        <color theme="1"/>
        <rFont val="Aptos Narrow"/>
        <family val="2"/>
      </rPr>
      <t xml:space="preserve">
El concierto se ha extinguido sin que se hayan realizado las actuaciones objeto de este o se haya producido la liquidación de los compromisos financieros aportados por las partes, en el caso de que procediera, por haber cantidades a reintegrar o cantidades Pendientes de abono.</t>
    </r>
  </si>
  <si>
    <t>Probabilidad de Suceso (5%-90%)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</si>
</sst>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00"/>
  </numFmts>
  <fonts count="42" x14ac:knownFonts="1">
    <font>
      <sz val="11"/>
      <color theme="1"/>
      <name val="Calibri"/>
      <family val="2"/>
      <scheme val="minor"/>
    </font>
    <font>
      <b/>
      <sz val="11"/>
      <color theme="1"/>
      <name val="Calibri"/>
      <family val="2"/>
      <scheme val="minor"/>
    </font>
    <font>
      <b/>
      <sz val="14"/>
      <color theme="1"/>
      <name val="Calibri"/>
      <family val="2"/>
      <scheme val="minor"/>
    </font>
    <font>
      <sz val="10"/>
      <color theme="1"/>
      <name val="Calibri"/>
      <family val="2"/>
      <scheme val="minor"/>
    </font>
    <font>
      <sz val="8"/>
      <name val="Calibri"/>
      <family val="2"/>
      <scheme val="minor"/>
    </font>
    <font>
      <sz val="10"/>
      <color theme="1"/>
      <name val="Arial"/>
      <family val="2"/>
    </font>
    <font>
      <sz val="11"/>
      <color theme="1"/>
      <name val="Calibri"/>
      <family val="2"/>
      <scheme val="minor"/>
    </font>
    <font>
      <sz val="14"/>
      <color theme="1"/>
      <name val="Calibri"/>
      <family val="2"/>
      <scheme val="minor"/>
    </font>
    <font>
      <sz val="14"/>
      <color theme="1"/>
      <name val="Aptos Narrow"/>
      <family val="2"/>
    </font>
    <font>
      <sz val="14"/>
      <name val="Aptos Narrow"/>
      <family val="2"/>
    </font>
    <font>
      <sz val="14"/>
      <color rgb="FF000000"/>
      <name val="Aptos Narrow"/>
      <family val="2"/>
    </font>
    <font>
      <b/>
      <sz val="12"/>
      <color theme="0"/>
      <name val="Aptos Narrow"/>
      <family val="2"/>
    </font>
    <font>
      <sz val="12"/>
      <color theme="1"/>
      <name val="Aptos Narrow"/>
      <family val="2"/>
    </font>
    <font>
      <b/>
      <u/>
      <sz val="12"/>
      <color theme="1"/>
      <name val="Aptos Narrow"/>
      <family val="2"/>
    </font>
    <font>
      <sz val="12"/>
      <name val="Aptos Narrow"/>
      <family val="2"/>
    </font>
    <font>
      <b/>
      <sz val="12"/>
      <name val="Aptos Narrow"/>
      <family val="2"/>
    </font>
    <font>
      <b/>
      <sz val="12"/>
      <color theme="1"/>
      <name val="Aptos Narrow"/>
      <family val="2"/>
    </font>
    <font>
      <b/>
      <i/>
      <sz val="12"/>
      <color theme="4" tint="-0.249977111117893"/>
      <name val="Aptos Narrow"/>
      <family val="2"/>
    </font>
    <font>
      <sz val="12"/>
      <color rgb="FF00B050"/>
      <name val="Aptos Narrow"/>
      <family val="2"/>
    </font>
    <font>
      <sz val="12"/>
      <color rgb="FF000000"/>
      <name val="Aptos Narrow"/>
      <family val="2"/>
    </font>
    <font>
      <b/>
      <sz val="12"/>
      <color indexed="8"/>
      <name val="Aptos Narrow"/>
      <family val="2"/>
    </font>
    <font>
      <b/>
      <sz val="12"/>
      <color rgb="FF000000"/>
      <name val="Aptos Narrow"/>
      <family val="2"/>
    </font>
    <font>
      <b/>
      <i/>
      <sz val="12"/>
      <color theme="1"/>
      <name val="Aptos Narrow"/>
      <family val="2"/>
    </font>
    <font>
      <u/>
      <sz val="14"/>
      <color indexed="8"/>
      <name val="Calibri"/>
      <family val="2"/>
      <scheme val="minor"/>
    </font>
    <font>
      <b/>
      <sz val="14"/>
      <color indexed="8"/>
      <name val="Calibri"/>
      <family val="2"/>
      <scheme val="minor"/>
    </font>
    <font>
      <u/>
      <sz val="14"/>
      <color theme="1"/>
      <name val="Calibri"/>
      <family val="2"/>
      <scheme val="minor"/>
    </font>
    <font>
      <b/>
      <sz val="14"/>
      <color theme="1"/>
      <name val="Aptos Narrow"/>
      <family val="2"/>
    </font>
    <font>
      <b/>
      <u/>
      <sz val="14"/>
      <color indexed="8"/>
      <name val="Aptos Narrow"/>
      <family val="2"/>
    </font>
    <font>
      <b/>
      <sz val="14"/>
      <color indexed="8"/>
      <name val="Aptos Narrow"/>
      <family val="2"/>
    </font>
    <font>
      <u/>
      <sz val="14"/>
      <color indexed="8"/>
      <name val="Aptos Narrow"/>
      <family val="2"/>
    </font>
    <font>
      <u/>
      <sz val="14"/>
      <color rgb="FF000000"/>
      <name val="Aptos Narrow"/>
      <family val="2"/>
    </font>
    <font>
      <b/>
      <u/>
      <sz val="14"/>
      <color rgb="FF000000"/>
      <name val="Aptos Narrow"/>
      <family val="2"/>
    </font>
    <font>
      <u/>
      <sz val="14"/>
      <color theme="1"/>
      <name val="Aptos Narrow"/>
      <family val="2"/>
    </font>
    <font>
      <b/>
      <sz val="14"/>
      <name val="Aptos Narrow"/>
      <family val="2"/>
    </font>
    <font>
      <b/>
      <sz val="14"/>
      <color rgb="FFFF0000"/>
      <name val="Aptos Narrow"/>
      <family val="2"/>
    </font>
    <font>
      <b/>
      <sz val="14"/>
      <color indexed="17"/>
      <name val="Aptos Narrow"/>
      <family val="2"/>
    </font>
    <font>
      <b/>
      <u/>
      <sz val="14"/>
      <color theme="1"/>
      <name val="Aptos Narrow"/>
      <family val="2"/>
    </font>
    <font>
      <sz val="14"/>
      <name val="Aptos Narrow"/>
      <family val="2"/>
    </font>
    <font>
      <sz val="12"/>
      <color rgb="FF000000"/>
      <name val="Calibri"/>
      <family val="2"/>
      <scheme val="minor"/>
    </font>
    <font>
      <b/>
      <u/>
      <sz val="14"/>
      <name val="Aptos Narrow"/>
      <family val="2"/>
    </font>
    <font>
      <sz val="14"/>
      <color theme="0"/>
      <name val="Aptos Narrow"/>
      <family val="2"/>
    </font>
    <font>
      <b/>
      <sz val="14"/>
      <color theme="0"/>
      <name val="Aptos Narrow"/>
      <family val="2"/>
    </font>
  </fonts>
  <fills count="23">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4" tint="0.59999389629810485"/>
        <bgColor indexed="64"/>
      </patternFill>
    </fill>
    <fill>
      <patternFill patternType="solid">
        <fgColor theme="0" tint="-0.499984740745262"/>
        <bgColor indexed="64"/>
      </patternFill>
    </fill>
    <fill>
      <patternFill patternType="solid">
        <fgColor rgb="FFFF0000"/>
        <bgColor indexed="64"/>
      </patternFill>
    </fill>
    <fill>
      <patternFill patternType="solid">
        <fgColor rgb="FFFFCCCC"/>
        <bgColor indexed="64"/>
      </patternFill>
    </fill>
    <fill>
      <patternFill patternType="solid">
        <fgColor theme="0" tint="-0.14999847407452621"/>
        <bgColor indexed="64"/>
      </patternFill>
    </fill>
    <fill>
      <patternFill patternType="solid">
        <fgColor rgb="FF9999FF"/>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7"/>
        <bgColor indexed="64"/>
      </patternFill>
    </fill>
    <fill>
      <patternFill patternType="solid">
        <fgColor rgb="FFFF7C80"/>
        <bgColor indexed="64"/>
      </patternFill>
    </fill>
    <fill>
      <patternFill patternType="solid">
        <fgColor theme="9" tint="0.399975585192419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FFC7CE"/>
        <bgColor indexed="64"/>
      </patternFill>
    </fill>
    <fill>
      <patternFill patternType="solid">
        <fgColor rgb="FFFFFF0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0" fontId="5" fillId="0" borderId="0"/>
    <xf numFmtId="9" fontId="6" fillId="0" borderId="0" applyFont="0" applyFill="0" applyBorder="0" applyAlignment="0" applyProtection="0"/>
    <xf numFmtId="44" fontId="6" fillId="0" borderId="0" applyFont="0" applyFill="0" applyBorder="0" applyAlignment="0" applyProtection="0"/>
  </cellStyleXfs>
  <cellXfs count="663">
    <xf numFmtId="0" fontId="0" fillId="0" borderId="0" xfId="0"/>
    <xf numFmtId="0" fontId="0" fillId="0" borderId="0" xfId="0" applyAlignment="1">
      <alignment horizontal="center"/>
    </xf>
    <xf numFmtId="9" fontId="0" fillId="0" borderId="0" xfId="0" applyNumberFormat="1" applyAlignment="1">
      <alignment horizontal="center"/>
    </xf>
    <xf numFmtId="0" fontId="3" fillId="2" borderId="1" xfId="0" applyFont="1" applyFill="1" applyBorder="1" applyAlignment="1" applyProtection="1">
      <alignment vertical="center" wrapText="1"/>
      <protection hidden="1"/>
    </xf>
    <xf numFmtId="2" fontId="0" fillId="0" borderId="29" xfId="3" applyNumberFormat="1" applyFont="1" applyFill="1" applyBorder="1" applyAlignment="1" applyProtection="1">
      <alignment horizontal="center" vertical="center"/>
      <protection hidden="1"/>
    </xf>
    <xf numFmtId="2" fontId="0" fillId="0" borderId="30" xfId="3" applyNumberFormat="1" applyFont="1" applyFill="1" applyBorder="1" applyAlignment="1" applyProtection="1">
      <alignment horizontal="center" vertical="center"/>
      <protection hidden="1"/>
    </xf>
    <xf numFmtId="2" fontId="0" fillId="0" borderId="28" xfId="2" applyNumberFormat="1" applyFont="1" applyFill="1" applyBorder="1" applyAlignment="1" applyProtection="1">
      <alignment horizontal="center" vertical="center"/>
      <protection hidden="1"/>
    </xf>
    <xf numFmtId="2" fontId="0" fillId="0" borderId="29" xfId="2" applyNumberFormat="1" applyFont="1" applyFill="1" applyBorder="1" applyAlignment="1" applyProtection="1">
      <alignment horizontal="center" vertical="center"/>
      <protection hidden="1"/>
    </xf>
    <xf numFmtId="2" fontId="0" fillId="0" borderId="30" xfId="2" applyNumberFormat="1" applyFont="1" applyFill="1" applyBorder="1" applyAlignment="1" applyProtection="1">
      <alignment horizontal="center" vertical="center"/>
      <protection hidden="1"/>
    </xf>
    <xf numFmtId="1" fontId="9" fillId="2" borderId="1" xfId="0" applyNumberFormat="1" applyFont="1" applyFill="1" applyBorder="1" applyAlignment="1" applyProtection="1">
      <alignment horizontal="center" vertical="center" wrapText="1"/>
      <protection locked="0"/>
    </xf>
    <xf numFmtId="1" fontId="9" fillId="2" borderId="5" xfId="0" applyNumberFormat="1" applyFont="1" applyFill="1" applyBorder="1" applyAlignment="1" applyProtection="1">
      <alignment horizontal="center" vertical="center" wrapText="1"/>
      <protection locked="0"/>
    </xf>
    <xf numFmtId="10" fontId="33" fillId="0" borderId="5" xfId="2" applyNumberFormat="1" applyFont="1" applyFill="1" applyBorder="1" applyAlignment="1" applyProtection="1">
      <alignment horizontal="center" vertical="center" wrapText="1"/>
      <protection hidden="1"/>
    </xf>
    <xf numFmtId="9" fontId="33" fillId="0" borderId="5" xfId="2" applyFont="1" applyFill="1" applyBorder="1" applyAlignment="1" applyProtection="1">
      <alignment horizontal="center" vertical="center" wrapText="1"/>
      <protection hidden="1"/>
    </xf>
    <xf numFmtId="10" fontId="33" fillId="0" borderId="1" xfId="2" applyNumberFormat="1" applyFont="1" applyFill="1" applyBorder="1" applyAlignment="1" applyProtection="1">
      <alignment horizontal="center" vertical="center" wrapText="1"/>
      <protection hidden="1"/>
    </xf>
    <xf numFmtId="9" fontId="33" fillId="0" borderId="1" xfId="2" applyFont="1" applyFill="1" applyBorder="1" applyAlignment="1" applyProtection="1">
      <alignment horizontal="center" vertical="center" wrapText="1"/>
      <protection hidden="1"/>
    </xf>
    <xf numFmtId="1" fontId="9" fillId="2" borderId="34" xfId="0" applyNumberFormat="1" applyFont="1" applyFill="1" applyBorder="1" applyAlignment="1" applyProtection="1">
      <alignment horizontal="center" vertical="center" wrapText="1"/>
      <protection locked="0"/>
    </xf>
    <xf numFmtId="10" fontId="33" fillId="0" borderId="34" xfId="2" applyNumberFormat="1" applyFont="1" applyFill="1" applyBorder="1" applyAlignment="1" applyProtection="1">
      <alignment horizontal="center" vertical="center" wrapText="1"/>
      <protection hidden="1"/>
    </xf>
    <xf numFmtId="9" fontId="33" fillId="0" borderId="34" xfId="2" applyFont="1" applyFill="1" applyBorder="1" applyAlignment="1" applyProtection="1">
      <alignment horizontal="center" vertical="center" wrapText="1"/>
      <protection hidden="1"/>
    </xf>
    <xf numFmtId="9" fontId="33" fillId="2" borderId="5" xfId="2" applyFont="1" applyFill="1" applyBorder="1" applyAlignment="1" applyProtection="1">
      <alignment horizontal="center" vertical="center" wrapText="1"/>
      <protection hidden="1"/>
    </xf>
    <xf numFmtId="1" fontId="9" fillId="2" borderId="41" xfId="0" applyNumberFormat="1" applyFont="1" applyFill="1" applyBorder="1" applyAlignment="1" applyProtection="1">
      <alignment horizontal="center" vertical="center" wrapText="1"/>
      <protection locked="0"/>
    </xf>
    <xf numFmtId="10" fontId="33" fillId="0" borderId="41" xfId="2" applyNumberFormat="1" applyFont="1" applyFill="1" applyBorder="1" applyAlignment="1" applyProtection="1">
      <alignment horizontal="center" vertical="center" wrapText="1"/>
      <protection hidden="1"/>
    </xf>
    <xf numFmtId="1" fontId="9" fillId="2" borderId="11" xfId="0" applyNumberFormat="1" applyFont="1" applyFill="1" applyBorder="1" applyAlignment="1" applyProtection="1">
      <alignment horizontal="center" vertical="center" wrapText="1"/>
      <protection locked="0"/>
    </xf>
    <xf numFmtId="10" fontId="33" fillId="0" borderId="11" xfId="2" applyNumberFormat="1" applyFont="1" applyFill="1" applyBorder="1" applyAlignment="1" applyProtection="1">
      <alignment horizontal="center" vertical="center" wrapText="1"/>
      <protection hidden="1"/>
    </xf>
    <xf numFmtId="9" fontId="33" fillId="0" borderId="11" xfId="2" applyFont="1" applyFill="1" applyBorder="1" applyAlignment="1" applyProtection="1">
      <alignment horizontal="center" vertical="center" wrapText="1"/>
      <protection hidden="1"/>
    </xf>
    <xf numFmtId="9" fontId="33" fillId="0" borderId="41" xfId="2" applyFont="1" applyFill="1" applyBorder="1" applyAlignment="1" applyProtection="1">
      <alignment horizontal="center" vertical="center" wrapText="1"/>
      <protection hidden="1"/>
    </xf>
    <xf numFmtId="1" fontId="9" fillId="2" borderId="8" xfId="0" applyNumberFormat="1" applyFont="1" applyFill="1" applyBorder="1" applyAlignment="1" applyProtection="1">
      <alignment horizontal="center" vertical="center" wrapText="1"/>
      <protection locked="0"/>
    </xf>
    <xf numFmtId="10" fontId="33" fillId="0" borderId="8" xfId="2" applyNumberFormat="1" applyFont="1" applyFill="1" applyBorder="1" applyAlignment="1" applyProtection="1">
      <alignment horizontal="center" vertical="center" wrapText="1"/>
      <protection hidden="1"/>
    </xf>
    <xf numFmtId="9" fontId="33" fillId="0" borderId="8" xfId="2" applyFont="1" applyFill="1" applyBorder="1" applyAlignment="1" applyProtection="1">
      <alignment horizontal="center" vertical="center" wrapText="1"/>
      <protection hidden="1"/>
    </xf>
    <xf numFmtId="9" fontId="33" fillId="2" borderId="1" xfId="2" applyFont="1" applyFill="1" applyBorder="1" applyAlignment="1" applyProtection="1">
      <alignment horizontal="center" vertical="center" wrapText="1"/>
      <protection hidden="1"/>
    </xf>
    <xf numFmtId="9" fontId="33" fillId="2" borderId="8" xfId="2" applyFont="1" applyFill="1" applyBorder="1" applyAlignment="1" applyProtection="1">
      <alignment horizontal="center" vertical="center" wrapText="1"/>
      <protection hidden="1"/>
    </xf>
    <xf numFmtId="10" fontId="33" fillId="0" borderId="1" xfId="2" applyNumberFormat="1" applyFont="1" applyBorder="1" applyAlignment="1" applyProtection="1">
      <alignment horizontal="center" vertical="center" wrapText="1"/>
      <protection hidden="1"/>
    </xf>
    <xf numFmtId="9" fontId="33" fillId="0" borderId="1" xfId="2" applyFont="1" applyBorder="1" applyAlignment="1" applyProtection="1">
      <alignment horizontal="center" vertical="center" wrapText="1"/>
      <protection hidden="1"/>
    </xf>
    <xf numFmtId="10" fontId="33" fillId="0" borderId="8" xfId="2" applyNumberFormat="1" applyFont="1" applyBorder="1" applyAlignment="1" applyProtection="1">
      <alignment horizontal="center" vertical="center" wrapText="1"/>
      <protection hidden="1"/>
    </xf>
    <xf numFmtId="9" fontId="33" fillId="0" borderId="8" xfId="2" applyFont="1" applyBorder="1" applyAlignment="1" applyProtection="1">
      <alignment horizontal="center" vertical="center" wrapText="1"/>
      <protection hidden="1"/>
    </xf>
    <xf numFmtId="10" fontId="33" fillId="0" borderId="5" xfId="2" applyNumberFormat="1" applyFont="1" applyBorder="1" applyAlignment="1" applyProtection="1">
      <alignment horizontal="center" vertical="center" wrapText="1"/>
      <protection hidden="1"/>
    </xf>
    <xf numFmtId="1" fontId="9" fillId="2" borderId="13" xfId="0" applyNumberFormat="1" applyFont="1" applyFill="1" applyBorder="1" applyAlignment="1" applyProtection="1">
      <alignment horizontal="center" vertical="center" wrapText="1"/>
      <protection locked="0"/>
    </xf>
    <xf numFmtId="1" fontId="9" fillId="2" borderId="14" xfId="0" applyNumberFormat="1" applyFont="1" applyFill="1" applyBorder="1" applyAlignment="1" applyProtection="1">
      <alignment horizontal="center" vertical="center" wrapText="1"/>
      <protection locked="0"/>
    </xf>
    <xf numFmtId="1" fontId="9" fillId="2" borderId="33" xfId="0" applyNumberFormat="1" applyFont="1" applyFill="1" applyBorder="1" applyAlignment="1" applyProtection="1">
      <alignment horizontal="center" vertical="center" wrapText="1"/>
      <protection locked="0"/>
    </xf>
    <xf numFmtId="1" fontId="9" fillId="2" borderId="40" xfId="0" applyNumberFormat="1" applyFont="1" applyFill="1" applyBorder="1" applyAlignment="1" applyProtection="1">
      <alignment horizontal="center" vertical="center" wrapText="1"/>
      <protection locked="0"/>
    </xf>
    <xf numFmtId="1" fontId="9" fillId="2" borderId="10" xfId="0" applyNumberFormat="1" applyFont="1" applyFill="1" applyBorder="1" applyAlignment="1" applyProtection="1">
      <alignment horizontal="center" vertical="center" wrapText="1"/>
      <protection locked="0"/>
    </xf>
    <xf numFmtId="1" fontId="9" fillId="2" borderId="15" xfId="0" applyNumberFormat="1" applyFont="1" applyFill="1" applyBorder="1" applyAlignment="1" applyProtection="1">
      <alignment horizontal="center" vertical="center" wrapText="1"/>
      <protection locked="0"/>
    </xf>
    <xf numFmtId="9" fontId="33" fillId="2" borderId="11" xfId="2" applyFont="1" applyFill="1" applyBorder="1" applyAlignment="1" applyProtection="1">
      <alignment horizontal="center" vertical="center" wrapText="1"/>
      <protection hidden="1"/>
    </xf>
    <xf numFmtId="9" fontId="33" fillId="0" borderId="5" xfId="2" applyFont="1" applyBorder="1" applyAlignment="1" applyProtection="1">
      <alignment horizontal="center" vertical="center" wrapText="1"/>
      <protection hidden="1"/>
    </xf>
    <xf numFmtId="9" fontId="33" fillId="0" borderId="11" xfId="2" applyFont="1" applyBorder="1" applyAlignment="1" applyProtection="1">
      <alignment horizontal="center" vertical="center" wrapText="1"/>
      <protection hidden="1"/>
    </xf>
    <xf numFmtId="1" fontId="9" fillId="2" borderId="48" xfId="0" applyNumberFormat="1" applyFont="1" applyFill="1" applyBorder="1" applyAlignment="1" applyProtection="1">
      <alignment horizontal="center" vertical="center" wrapText="1"/>
      <protection locked="0"/>
    </xf>
    <xf numFmtId="1" fontId="9" fillId="2" borderId="44" xfId="0" applyNumberFormat="1" applyFont="1" applyFill="1" applyBorder="1" applyAlignment="1" applyProtection="1">
      <alignment horizontal="center" vertical="center" wrapText="1"/>
      <protection locked="0"/>
    </xf>
    <xf numFmtId="10" fontId="33" fillId="0" borderId="44" xfId="2" applyNumberFormat="1" applyFont="1" applyFill="1" applyBorder="1" applyAlignment="1" applyProtection="1">
      <alignment horizontal="center" vertical="center" wrapText="1"/>
      <protection hidden="1"/>
    </xf>
    <xf numFmtId="9" fontId="33" fillId="2" borderId="44" xfId="2" applyFont="1" applyFill="1" applyBorder="1" applyAlignment="1" applyProtection="1">
      <alignment horizontal="center" vertical="center" wrapText="1"/>
      <protection hidden="1"/>
    </xf>
    <xf numFmtId="9" fontId="33" fillId="0" borderId="44" xfId="2" applyFont="1" applyFill="1" applyBorder="1" applyAlignment="1" applyProtection="1">
      <alignment horizontal="center" vertical="center" wrapText="1"/>
      <protection hidden="1"/>
    </xf>
    <xf numFmtId="1" fontId="37" fillId="2" borderId="15" xfId="0" applyNumberFormat="1" applyFont="1" applyFill="1" applyBorder="1" applyAlignment="1" applyProtection="1">
      <alignment horizontal="center" vertical="center" wrapText="1"/>
      <protection locked="0"/>
    </xf>
    <xf numFmtId="1" fontId="37" fillId="2" borderId="8" xfId="0" applyNumberFormat="1" applyFont="1" applyFill="1" applyBorder="1" applyAlignment="1" applyProtection="1">
      <alignment horizontal="center" vertical="center" wrapText="1"/>
      <protection locked="0"/>
    </xf>
    <xf numFmtId="10" fontId="0" fillId="0" borderId="29" xfId="2" applyNumberFormat="1" applyFont="1" applyFill="1" applyBorder="1" applyAlignment="1" applyProtection="1">
      <alignment horizontal="center" vertical="center"/>
      <protection hidden="1"/>
    </xf>
    <xf numFmtId="10" fontId="0" fillId="0" borderId="25" xfId="2" applyNumberFormat="1" applyFont="1" applyFill="1" applyBorder="1" applyAlignment="1" applyProtection="1">
      <alignment horizontal="center" vertical="center"/>
      <protection hidden="1"/>
    </xf>
    <xf numFmtId="10" fontId="0" fillId="0" borderId="30" xfId="2" applyNumberFormat="1" applyFont="1" applyFill="1" applyBorder="1" applyAlignment="1" applyProtection="1">
      <alignment horizontal="center" vertical="center"/>
      <protection hidden="1"/>
    </xf>
    <xf numFmtId="2" fontId="26" fillId="0" borderId="11" xfId="2" applyNumberFormat="1" applyFont="1" applyBorder="1" applyAlignment="1" applyProtection="1">
      <alignment horizontal="center" vertical="center"/>
      <protection hidden="1"/>
    </xf>
    <xf numFmtId="9" fontId="33" fillId="2" borderId="34" xfId="2" applyFont="1" applyFill="1" applyBorder="1" applyAlignment="1" applyProtection="1">
      <alignment horizontal="center" vertical="center" wrapText="1"/>
      <protection hidden="1"/>
    </xf>
    <xf numFmtId="9" fontId="33" fillId="2" borderId="41" xfId="2" applyFont="1" applyFill="1" applyBorder="1" applyAlignment="1" applyProtection="1">
      <alignment horizontal="center" vertical="center" wrapText="1"/>
      <protection hidden="1"/>
    </xf>
    <xf numFmtId="10" fontId="6" fillId="0" borderId="25" xfId="2" applyNumberFormat="1" applyFont="1" applyFill="1" applyBorder="1" applyAlignment="1" applyProtection="1">
      <alignment horizontal="center" vertical="center"/>
      <protection hidden="1"/>
    </xf>
    <xf numFmtId="0" fontId="11" fillId="7" borderId="0" xfId="0" applyFont="1" applyFill="1" applyAlignment="1" applyProtection="1">
      <alignment vertical="center"/>
      <protection hidden="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Protection="1">
      <protection hidden="1"/>
    </xf>
    <xf numFmtId="0" fontId="13" fillId="0" borderId="0" xfId="0" applyFont="1" applyAlignment="1" applyProtection="1">
      <alignment vertical="center"/>
      <protection hidden="1"/>
    </xf>
    <xf numFmtId="0" fontId="14" fillId="0" borderId="0" xfId="0" applyFont="1" applyAlignment="1" applyProtection="1">
      <alignment vertical="center"/>
      <protection hidden="1"/>
    </xf>
    <xf numFmtId="0" fontId="16" fillId="0" borderId="0" xfId="0" applyFont="1" applyAlignment="1" applyProtection="1">
      <alignment horizontal="right" vertical="center"/>
      <protection hidden="1"/>
    </xf>
    <xf numFmtId="0" fontId="16" fillId="0" borderId="0" xfId="0" applyFont="1" applyAlignment="1" applyProtection="1">
      <alignment vertical="center"/>
      <protection hidden="1"/>
    </xf>
    <xf numFmtId="0" fontId="14" fillId="0" borderId="0" xfId="0" applyFont="1" applyAlignment="1" applyProtection="1">
      <alignment horizontal="justify" vertical="center" wrapText="1"/>
      <protection hidden="1"/>
    </xf>
    <xf numFmtId="0" fontId="15" fillId="0" borderId="1" xfId="0" applyFont="1" applyBorder="1" applyAlignment="1" applyProtection="1">
      <alignment horizontal="center" vertical="center"/>
      <protection hidden="1"/>
    </xf>
    <xf numFmtId="0" fontId="15" fillId="0" borderId="1" xfId="0" applyFont="1" applyBorder="1" applyAlignment="1" applyProtection="1">
      <alignment horizontal="center" vertical="center" wrapText="1"/>
      <protection hidden="1"/>
    </xf>
    <xf numFmtId="0" fontId="14" fillId="0" borderId="0" xfId="0" applyFont="1" applyProtection="1">
      <protection hidden="1"/>
    </xf>
    <xf numFmtId="0" fontId="14" fillId="0" borderId="1" xfId="0"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hidden="1"/>
    </xf>
    <xf numFmtId="9" fontId="14" fillId="0" borderId="1" xfId="2" applyFont="1" applyBorder="1" applyAlignment="1" applyProtection="1">
      <alignment horizontal="center" vertical="center"/>
      <protection hidden="1"/>
    </xf>
    <xf numFmtId="0" fontId="14" fillId="16" borderId="1" xfId="0" applyFont="1" applyFill="1" applyBorder="1" applyAlignment="1" applyProtection="1">
      <alignment horizontal="center" vertical="center"/>
      <protection hidden="1"/>
    </xf>
    <xf numFmtId="0" fontId="14" fillId="14" borderId="1" xfId="0" applyFont="1" applyFill="1" applyBorder="1" applyAlignment="1" applyProtection="1">
      <alignment horizontal="center" vertical="center"/>
      <protection hidden="1"/>
    </xf>
    <xf numFmtId="0" fontId="14" fillId="15" borderId="1" xfId="0" applyFont="1" applyFill="1" applyBorder="1" applyAlignment="1" applyProtection="1">
      <alignment horizontal="center" vertical="center"/>
      <protection hidden="1"/>
    </xf>
    <xf numFmtId="0" fontId="14" fillId="8" borderId="1" xfId="0" applyFont="1" applyFill="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13" borderId="0" xfId="0" applyFont="1" applyFill="1" applyAlignment="1" applyProtection="1">
      <alignment horizontal="center" vertical="center"/>
      <protection hidden="1"/>
    </xf>
    <xf numFmtId="0" fontId="16" fillId="9" borderId="0" xfId="0" applyFont="1" applyFill="1" applyAlignment="1" applyProtection="1">
      <alignment horizontal="center" vertical="center"/>
      <protection hidden="1"/>
    </xf>
    <xf numFmtId="0" fontId="12" fillId="0" borderId="0" xfId="0" applyFont="1" applyAlignment="1" applyProtection="1">
      <alignment vertical="center" wrapText="1"/>
      <protection hidden="1"/>
    </xf>
    <xf numFmtId="0" fontId="17"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0" fontId="12" fillId="2" borderId="0" xfId="0" applyFont="1" applyFill="1" applyProtection="1">
      <protection hidden="1"/>
    </xf>
    <xf numFmtId="0" fontId="12" fillId="2" borderId="0" xfId="0" applyFont="1" applyFill="1" applyAlignment="1" applyProtection="1">
      <alignment vertical="center"/>
      <protection hidden="1"/>
    </xf>
    <xf numFmtId="0" fontId="18" fillId="2" borderId="0" xfId="0" applyFont="1" applyFill="1" applyAlignment="1" applyProtection="1">
      <alignment vertical="center"/>
      <protection hidden="1"/>
    </xf>
    <xf numFmtId="0" fontId="17" fillId="0" borderId="0" xfId="0" applyFont="1" applyAlignment="1" applyProtection="1">
      <alignment vertical="center"/>
      <protection hidden="1"/>
    </xf>
    <xf numFmtId="0" fontId="18" fillId="0" borderId="0" xfId="0" applyFont="1" applyAlignment="1" applyProtection="1">
      <alignment vertical="center"/>
      <protection hidden="1"/>
    </xf>
    <xf numFmtId="0" fontId="15" fillId="0" borderId="0" xfId="0" applyFont="1" applyAlignment="1" applyProtection="1">
      <alignment vertical="center" wrapText="1"/>
      <protection hidden="1"/>
    </xf>
    <xf numFmtId="0" fontId="21" fillId="0" borderId="0" xfId="0" applyFont="1" applyAlignment="1" applyProtection="1">
      <alignment horizontal="center" vertical="center"/>
      <protection hidden="1"/>
    </xf>
    <xf numFmtId="0" fontId="21" fillId="0" borderId="0" xfId="0" applyFont="1" applyAlignment="1" applyProtection="1">
      <alignment horizontal="left" vertical="center"/>
      <protection hidden="1"/>
    </xf>
    <xf numFmtId="0" fontId="19" fillId="8" borderId="17" xfId="0" applyFont="1" applyFill="1" applyBorder="1" applyAlignment="1" applyProtection="1">
      <alignment vertical="center"/>
      <protection hidden="1"/>
    </xf>
    <xf numFmtId="0" fontId="22" fillId="0" borderId="18" xfId="0" applyFont="1" applyBorder="1" applyAlignment="1" applyProtection="1">
      <alignment vertical="center"/>
      <protection hidden="1"/>
    </xf>
    <xf numFmtId="17" fontId="14" fillId="0" borderId="18" xfId="0" quotePrefix="1" applyNumberFormat="1" applyFont="1" applyBorder="1" applyAlignment="1" applyProtection="1">
      <alignment horizontal="center" vertical="center"/>
      <protection hidden="1"/>
    </xf>
    <xf numFmtId="0" fontId="19" fillId="0" borderId="19" xfId="0" applyFont="1" applyBorder="1" applyAlignment="1" applyProtection="1">
      <alignment vertical="center"/>
      <protection hidden="1"/>
    </xf>
    <xf numFmtId="0" fontId="12" fillId="0" borderId="18" xfId="0" applyFont="1" applyBorder="1" applyAlignment="1" applyProtection="1">
      <alignment vertical="center"/>
      <protection hidden="1"/>
    </xf>
    <xf numFmtId="0" fontId="12" fillId="0" borderId="18" xfId="0" applyFont="1" applyBorder="1" applyProtection="1">
      <protection hidden="1"/>
    </xf>
    <xf numFmtId="0" fontId="12" fillId="0" borderId="19" xfId="0" applyFont="1" applyBorder="1" applyProtection="1">
      <protection hidden="1"/>
    </xf>
    <xf numFmtId="0" fontId="19" fillId="15" borderId="20" xfId="0" applyFont="1" applyFill="1" applyBorder="1" applyAlignment="1" applyProtection="1">
      <alignment vertical="center"/>
      <protection hidden="1"/>
    </xf>
    <xf numFmtId="0" fontId="22" fillId="0" borderId="0" xfId="0" applyFont="1" applyAlignment="1" applyProtection="1">
      <alignment vertical="center"/>
      <protection hidden="1"/>
    </xf>
    <xf numFmtId="17" fontId="14" fillId="0" borderId="0" xfId="0" quotePrefix="1" applyNumberFormat="1" applyFont="1" applyAlignment="1" applyProtection="1">
      <alignment horizontal="center" vertical="center"/>
      <protection hidden="1"/>
    </xf>
    <xf numFmtId="0" fontId="19" fillId="0" borderId="21" xfId="0" applyFont="1" applyBorder="1" applyAlignment="1" applyProtection="1">
      <alignment vertical="center"/>
      <protection hidden="1"/>
    </xf>
    <xf numFmtId="0" fontId="12" fillId="0" borderId="21" xfId="0" applyFont="1" applyBorder="1" applyProtection="1">
      <protection hidden="1"/>
    </xf>
    <xf numFmtId="0" fontId="19" fillId="5" borderId="20" xfId="0" applyFont="1" applyFill="1" applyBorder="1" applyAlignment="1" applyProtection="1">
      <alignment vertical="center"/>
      <protection hidden="1"/>
    </xf>
    <xf numFmtId="0" fontId="14" fillId="0" borderId="0" xfId="0" applyFont="1" applyAlignment="1" applyProtection="1">
      <alignment horizontal="center" vertical="center"/>
      <protection hidden="1"/>
    </xf>
    <xf numFmtId="0" fontId="19" fillId="4" borderId="22" xfId="0" applyFont="1" applyFill="1" applyBorder="1" applyAlignment="1" applyProtection="1">
      <alignment vertical="center"/>
      <protection hidden="1"/>
    </xf>
    <xf numFmtId="0" fontId="22" fillId="0" borderId="23" xfId="0" applyFont="1" applyBorder="1" applyAlignment="1" applyProtection="1">
      <alignment vertical="center"/>
      <protection hidden="1"/>
    </xf>
    <xf numFmtId="0" fontId="14" fillId="0" borderId="23" xfId="0" applyFont="1" applyBorder="1" applyAlignment="1" applyProtection="1">
      <alignment horizontal="center" vertical="center"/>
      <protection hidden="1"/>
    </xf>
    <xf numFmtId="0" fontId="19" fillId="0" borderId="24" xfId="0" applyFont="1" applyBorder="1" applyAlignment="1" applyProtection="1">
      <alignment vertical="center"/>
      <protection hidden="1"/>
    </xf>
    <xf numFmtId="0" fontId="12" fillId="0" borderId="23" xfId="0" applyFont="1" applyBorder="1" applyAlignment="1" applyProtection="1">
      <alignment vertical="center"/>
      <protection hidden="1"/>
    </xf>
    <xf numFmtId="0" fontId="12" fillId="0" borderId="23" xfId="0" applyFont="1" applyBorder="1" applyProtection="1">
      <protection hidden="1"/>
    </xf>
    <xf numFmtId="0" fontId="12" fillId="0" borderId="24" xfId="0" applyFont="1" applyBorder="1" applyProtection="1">
      <protection hidden="1"/>
    </xf>
    <xf numFmtId="10" fontId="38" fillId="0" borderId="18" xfId="0" applyNumberFormat="1" applyFont="1" applyBorder="1" applyAlignment="1" applyProtection="1">
      <alignment horizontal="center" vertical="center"/>
      <protection hidden="1"/>
    </xf>
    <xf numFmtId="0" fontId="38" fillId="0" borderId="0" xfId="0" applyFont="1" applyAlignment="1" applyProtection="1">
      <alignment horizontal="center" vertical="center"/>
      <protection hidden="1"/>
    </xf>
    <xf numFmtId="0" fontId="38" fillId="0" borderId="23" xfId="0" applyFont="1" applyBorder="1" applyAlignment="1" applyProtection="1">
      <alignment horizontal="center" vertical="center"/>
      <protection hidden="1"/>
    </xf>
    <xf numFmtId="0" fontId="8" fillId="0" borderId="0" xfId="0" applyFont="1" applyProtection="1">
      <protection hidden="1"/>
    </xf>
    <xf numFmtId="0" fontId="26" fillId="0" borderId="0" xfId="0" applyFont="1" applyAlignment="1" applyProtection="1">
      <alignment horizontal="left"/>
      <protection hidden="1"/>
    </xf>
    <xf numFmtId="0" fontId="9" fillId="0" borderId="0" xfId="0" applyFont="1" applyProtection="1">
      <protection hidden="1"/>
    </xf>
    <xf numFmtId="2" fontId="8" fillId="0" borderId="0" xfId="0" applyNumberFormat="1" applyFont="1" applyProtection="1">
      <protection hidden="1"/>
    </xf>
    <xf numFmtId="0" fontId="26" fillId="0" borderId="0" xfId="0" applyFont="1" applyProtection="1">
      <protection hidden="1"/>
    </xf>
    <xf numFmtId="0" fontId="9" fillId="0" borderId="0" xfId="0" applyFont="1" applyAlignment="1" applyProtection="1">
      <alignment horizontal="center" vertical="center"/>
      <protection hidden="1"/>
    </xf>
    <xf numFmtId="0" fontId="8" fillId="0" borderId="0" xfId="0" applyFont="1" applyAlignment="1" applyProtection="1">
      <alignment wrapText="1"/>
      <protection hidden="1"/>
    </xf>
    <xf numFmtId="0" fontId="33" fillId="3" borderId="1" xfId="0" applyFont="1" applyFill="1" applyBorder="1" applyAlignment="1" applyProtection="1">
      <alignment horizontal="center" vertical="center"/>
      <protection hidden="1"/>
    </xf>
    <xf numFmtId="0" fontId="26" fillId="3" borderId="1" xfId="0" applyFont="1" applyFill="1" applyBorder="1" applyAlignment="1" applyProtection="1">
      <alignment horizontal="center" vertical="center" wrapText="1"/>
      <protection hidden="1"/>
    </xf>
    <xf numFmtId="1" fontId="9" fillId="2" borderId="1" xfId="0" applyNumberFormat="1" applyFont="1" applyFill="1" applyBorder="1" applyAlignment="1" applyProtection="1">
      <alignment horizontal="center" vertical="center" wrapText="1"/>
      <protection hidden="1"/>
    </xf>
    <xf numFmtId="0" fontId="26" fillId="2" borderId="0" xfId="0" applyFont="1" applyFill="1" applyAlignment="1" applyProtection="1">
      <alignment horizontal="center" vertical="center" wrapText="1"/>
      <protection hidden="1"/>
    </xf>
    <xf numFmtId="0" fontId="8" fillId="2" borderId="0" xfId="0" applyFont="1" applyFill="1" applyAlignment="1" applyProtection="1">
      <alignment horizontal="left" vertical="center" wrapText="1"/>
      <protection hidden="1"/>
    </xf>
    <xf numFmtId="1" fontId="9" fillId="2" borderId="0" xfId="0" applyNumberFormat="1" applyFont="1" applyFill="1" applyAlignment="1" applyProtection="1">
      <alignment horizontal="center" vertical="center" wrapText="1"/>
      <protection hidden="1"/>
    </xf>
    <xf numFmtId="0" fontId="26" fillId="17" borderId="1" xfId="0" applyFont="1" applyFill="1" applyBorder="1" applyAlignment="1" applyProtection="1">
      <alignment horizontal="center" vertical="center" wrapText="1"/>
      <protection hidden="1"/>
    </xf>
    <xf numFmtId="0" fontId="8" fillId="2" borderId="0" xfId="0" applyFont="1" applyFill="1" applyAlignment="1" applyProtection="1">
      <alignment vertical="center" wrapText="1"/>
      <protection hidden="1"/>
    </xf>
    <xf numFmtId="0" fontId="26" fillId="18" borderId="1" xfId="0" applyFont="1" applyFill="1" applyBorder="1" applyAlignment="1" applyProtection="1">
      <alignment horizontal="center" vertical="center" wrapText="1"/>
      <protection hidden="1"/>
    </xf>
    <xf numFmtId="0" fontId="26" fillId="6" borderId="1" xfId="0" applyFont="1" applyFill="1" applyBorder="1" applyAlignment="1" applyProtection="1">
      <alignment horizontal="center" vertical="center" wrapText="1"/>
      <protection hidden="1"/>
    </xf>
    <xf numFmtId="0" fontId="26" fillId="13" borderId="1" xfId="0" applyFont="1" applyFill="1" applyBorder="1" applyAlignment="1" applyProtection="1">
      <alignment horizontal="center" vertical="center" wrapText="1"/>
      <protection hidden="1"/>
    </xf>
    <xf numFmtId="0" fontId="9" fillId="0" borderId="0" xfId="0" applyFont="1" applyAlignment="1" applyProtection="1">
      <alignment horizontal="center"/>
      <protection hidden="1"/>
    </xf>
    <xf numFmtId="2" fontId="9" fillId="0" borderId="0" xfId="0" applyNumberFormat="1" applyFont="1" applyProtection="1">
      <protection hidden="1"/>
    </xf>
    <xf numFmtId="0" fontId="33" fillId="0" borderId="0" xfId="0" applyFont="1" applyProtection="1">
      <protection hidden="1"/>
    </xf>
    <xf numFmtId="0" fontId="26" fillId="6" borderId="4" xfId="0" applyFont="1" applyFill="1" applyBorder="1" applyAlignment="1" applyProtection="1">
      <alignment horizontal="center" vertical="center" wrapText="1"/>
      <protection hidden="1"/>
    </xf>
    <xf numFmtId="0" fontId="26" fillId="17" borderId="3" xfId="0" applyFont="1" applyFill="1" applyBorder="1" applyAlignment="1" applyProtection="1">
      <alignment horizontal="center" vertical="center" wrapText="1"/>
      <protection hidden="1"/>
    </xf>
    <xf numFmtId="0" fontId="33" fillId="6" borderId="4" xfId="0" applyFont="1" applyFill="1" applyBorder="1" applyAlignment="1" applyProtection="1">
      <alignment horizontal="center" vertical="center" wrapText="1"/>
      <protection hidden="1"/>
    </xf>
    <xf numFmtId="0" fontId="26" fillId="18" borderId="4" xfId="0" applyFont="1" applyFill="1" applyBorder="1" applyAlignment="1" applyProtection="1">
      <alignment horizontal="center" vertical="center" wrapText="1"/>
      <protection hidden="1"/>
    </xf>
    <xf numFmtId="0" fontId="26" fillId="13" borderId="4" xfId="0" applyFont="1" applyFill="1" applyBorder="1" applyAlignment="1" applyProtection="1">
      <alignment horizontal="center" vertical="center" wrapText="1"/>
      <protection hidden="1"/>
    </xf>
    <xf numFmtId="0" fontId="33" fillId="6" borderId="4" xfId="0" applyFont="1" applyFill="1" applyBorder="1" applyAlignment="1" applyProtection="1">
      <alignment vertical="center" wrapText="1"/>
      <protection hidden="1"/>
    </xf>
    <xf numFmtId="0" fontId="33" fillId="6" borderId="35" xfId="0" applyFont="1" applyFill="1" applyBorder="1" applyAlignment="1" applyProtection="1">
      <alignment vertical="center" wrapText="1"/>
      <protection hidden="1"/>
    </xf>
    <xf numFmtId="0" fontId="33" fillId="6" borderId="3" xfId="0" applyFont="1" applyFill="1" applyBorder="1" applyAlignment="1" applyProtection="1">
      <alignment horizontal="center" vertical="center" wrapText="1"/>
      <protection hidden="1"/>
    </xf>
    <xf numFmtId="0" fontId="33" fillId="6" borderId="16" xfId="0" applyFont="1" applyFill="1" applyBorder="1" applyAlignment="1" applyProtection="1">
      <alignment horizontal="center" vertical="center" wrapText="1"/>
      <protection hidden="1"/>
    </xf>
    <xf numFmtId="0" fontId="33" fillId="11" borderId="3" xfId="0" applyFont="1" applyFill="1" applyBorder="1" applyAlignment="1" applyProtection="1">
      <alignment horizontal="center" vertical="center" wrapText="1"/>
      <protection hidden="1"/>
    </xf>
    <xf numFmtId="0" fontId="33" fillId="11" borderId="4" xfId="0" applyFont="1" applyFill="1" applyBorder="1" applyAlignment="1" applyProtection="1">
      <alignment horizontal="center" vertical="center" wrapText="1"/>
      <protection hidden="1"/>
    </xf>
    <xf numFmtId="2" fontId="33" fillId="11" borderId="4" xfId="0" applyNumberFormat="1" applyFont="1" applyFill="1" applyBorder="1" applyAlignment="1" applyProtection="1">
      <alignment horizontal="center" vertical="center" wrapText="1"/>
      <protection hidden="1"/>
    </xf>
    <xf numFmtId="0" fontId="33" fillId="11" borderId="35" xfId="0"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3" fillId="12" borderId="32"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3" fillId="12" borderId="16" xfId="0" applyFont="1" applyFill="1" applyBorder="1" applyAlignment="1" applyProtection="1">
      <alignment horizontal="center" vertical="center" wrapText="1"/>
      <protection hidden="1"/>
    </xf>
    <xf numFmtId="0" fontId="26" fillId="0" borderId="5" xfId="0" applyFont="1" applyBorder="1" applyAlignment="1" applyProtection="1">
      <alignment horizontal="center" vertical="center" wrapText="1"/>
      <protection hidden="1"/>
    </xf>
    <xf numFmtId="0" fontId="26" fillId="2" borderId="5" xfId="0" applyFont="1" applyFill="1" applyBorder="1" applyAlignment="1" applyProtection="1">
      <alignment horizontal="justify" vertical="center" wrapText="1"/>
      <protection hidden="1"/>
    </xf>
    <xf numFmtId="0" fontId="26" fillId="0" borderId="56" xfId="0" applyFont="1" applyBorder="1" applyAlignment="1" applyProtection="1">
      <alignment horizontal="center" vertical="center" wrapText="1"/>
      <protection hidden="1"/>
    </xf>
    <xf numFmtId="1" fontId="9" fillId="2" borderId="13" xfId="0" applyNumberFormat="1" applyFont="1" applyFill="1" applyBorder="1" applyAlignment="1" applyProtection="1">
      <alignment horizontal="center" vertical="center" wrapText="1"/>
      <protection hidden="1"/>
    </xf>
    <xf numFmtId="1" fontId="9" fillId="2" borderId="5" xfId="0" applyNumberFormat="1" applyFont="1" applyFill="1" applyBorder="1" applyAlignment="1" applyProtection="1">
      <alignment horizontal="center" vertical="center" wrapText="1"/>
      <protection hidden="1"/>
    </xf>
    <xf numFmtId="1" fontId="9" fillId="10" borderId="5" xfId="0" applyNumberFormat="1" applyFont="1" applyFill="1" applyBorder="1" applyAlignment="1" applyProtection="1">
      <alignment horizontal="center" vertical="center" wrapText="1"/>
      <protection hidden="1"/>
    </xf>
    <xf numFmtId="1" fontId="9" fillId="10" borderId="6" xfId="0" applyNumberFormat="1" applyFont="1" applyFill="1" applyBorder="1" applyAlignment="1" applyProtection="1">
      <alignment horizontal="center" vertical="center" wrapText="1"/>
      <protection hidden="1"/>
    </xf>
    <xf numFmtId="9" fontId="33" fillId="2" borderId="6" xfId="2" applyFont="1" applyFill="1" applyBorder="1" applyAlignment="1" applyProtection="1">
      <alignment horizontal="center" vertical="center" wrapText="1"/>
      <protection hidden="1"/>
    </xf>
    <xf numFmtId="1" fontId="26" fillId="2" borderId="5" xfId="2" applyNumberFormat="1" applyFont="1" applyFill="1" applyBorder="1" applyAlignment="1" applyProtection="1">
      <alignment horizontal="center" vertical="center" wrapText="1"/>
      <protection hidden="1"/>
    </xf>
    <xf numFmtId="0" fontId="9" fillId="0" borderId="45" xfId="0" applyFont="1" applyBorder="1" applyAlignment="1" applyProtection="1">
      <alignment horizontal="justify" vertical="center" wrapText="1"/>
      <protection hidden="1"/>
    </xf>
    <xf numFmtId="0" fontId="33" fillId="0" borderId="5" xfId="0" applyFont="1" applyBorder="1" applyAlignment="1" applyProtection="1">
      <alignment horizontal="center" vertical="center" wrapText="1"/>
      <protection hidden="1"/>
    </xf>
    <xf numFmtId="9" fontId="26" fillId="0" borderId="5" xfId="2" applyFont="1" applyBorder="1" applyAlignment="1" applyProtection="1">
      <alignment horizontal="center" vertical="center" wrapText="1"/>
      <protection hidden="1"/>
    </xf>
    <xf numFmtId="0" fontId="26" fillId="0" borderId="1" xfId="0" applyFont="1" applyBorder="1" applyAlignment="1" applyProtection="1">
      <alignment horizontal="center" vertical="center" wrapText="1"/>
      <protection hidden="1"/>
    </xf>
    <xf numFmtId="0" fontId="26" fillId="2" borderId="1" xfId="0" applyFont="1" applyFill="1" applyBorder="1" applyAlignment="1" applyProtection="1">
      <alignment horizontal="justify" vertical="center" wrapText="1"/>
      <protection hidden="1"/>
    </xf>
    <xf numFmtId="0" fontId="26" fillId="0" borderId="2" xfId="0" applyFont="1" applyBorder="1" applyAlignment="1" applyProtection="1">
      <alignment horizontal="center" vertical="center" wrapText="1"/>
      <protection hidden="1"/>
    </xf>
    <xf numFmtId="1" fontId="9" fillId="2" borderId="14" xfId="0" applyNumberFormat="1" applyFont="1" applyFill="1" applyBorder="1" applyAlignment="1" applyProtection="1">
      <alignment horizontal="center" vertical="center" wrapText="1"/>
      <protection hidden="1"/>
    </xf>
    <xf numFmtId="1" fontId="9" fillId="10" borderId="1" xfId="0" applyNumberFormat="1" applyFont="1" applyFill="1" applyBorder="1" applyAlignment="1" applyProtection="1">
      <alignment horizontal="center" vertical="center" wrapText="1"/>
      <protection hidden="1"/>
    </xf>
    <xf numFmtId="1" fontId="9" fillId="10" borderId="7" xfId="0" applyNumberFormat="1" applyFont="1" applyFill="1" applyBorder="1" applyAlignment="1" applyProtection="1">
      <alignment horizontal="center" vertical="center" wrapText="1"/>
      <protection hidden="1"/>
    </xf>
    <xf numFmtId="9" fontId="33" fillId="2" borderId="7" xfId="2" applyFont="1" applyFill="1" applyBorder="1" applyAlignment="1" applyProtection="1">
      <alignment horizontal="center" vertical="center" wrapText="1"/>
      <protection hidden="1"/>
    </xf>
    <xf numFmtId="1" fontId="26" fillId="0" borderId="1" xfId="2" applyNumberFormat="1" applyFont="1" applyFill="1" applyBorder="1" applyAlignment="1" applyProtection="1">
      <alignment horizontal="center" vertical="center" wrapText="1"/>
      <protection hidden="1"/>
    </xf>
    <xf numFmtId="0" fontId="9" fillId="0" borderId="46" xfId="0" applyFont="1" applyBorder="1" applyAlignment="1" applyProtection="1">
      <alignment horizontal="justify" vertical="center" wrapText="1"/>
      <protection hidden="1"/>
    </xf>
    <xf numFmtId="0" fontId="33" fillId="0" borderId="1" xfId="0" applyFont="1" applyBorder="1" applyAlignment="1" applyProtection="1">
      <alignment horizontal="center" vertical="center" wrapText="1"/>
      <protection hidden="1"/>
    </xf>
    <xf numFmtId="9" fontId="26" fillId="0" borderId="1" xfId="2" applyFont="1" applyBorder="1" applyAlignment="1" applyProtection="1">
      <alignment horizontal="center" vertical="center" wrapText="1"/>
      <protection hidden="1"/>
    </xf>
    <xf numFmtId="0" fontId="26" fillId="0" borderId="8" xfId="0" applyFont="1" applyBorder="1" applyAlignment="1" applyProtection="1">
      <alignment horizontal="center" vertical="center" wrapText="1"/>
      <protection hidden="1"/>
    </xf>
    <xf numFmtId="0" fontId="26" fillId="2" borderId="8" xfId="0" applyFont="1" applyFill="1" applyBorder="1" applyAlignment="1" applyProtection="1">
      <alignment horizontal="justify" vertical="center" wrapText="1"/>
      <protection hidden="1"/>
    </xf>
    <xf numFmtId="0" fontId="26" fillId="0" borderId="58" xfId="0" applyFont="1" applyBorder="1" applyAlignment="1" applyProtection="1">
      <alignment horizontal="center" vertical="center" wrapText="1"/>
      <protection hidden="1"/>
    </xf>
    <xf numFmtId="1" fontId="9" fillId="2" borderId="33" xfId="0" applyNumberFormat="1" applyFont="1" applyFill="1" applyBorder="1" applyAlignment="1" applyProtection="1">
      <alignment horizontal="center" vertical="center" wrapText="1"/>
      <protection hidden="1"/>
    </xf>
    <xf numFmtId="1" fontId="9" fillId="2" borderId="34" xfId="0" applyNumberFormat="1" applyFont="1" applyFill="1" applyBorder="1" applyAlignment="1" applyProtection="1">
      <alignment horizontal="center" vertical="center" wrapText="1"/>
      <protection hidden="1"/>
    </xf>
    <xf numFmtId="1" fontId="9" fillId="10" borderId="34" xfId="0" applyNumberFormat="1" applyFont="1" applyFill="1" applyBorder="1" applyAlignment="1" applyProtection="1">
      <alignment horizontal="center" vertical="center" wrapText="1"/>
      <protection hidden="1"/>
    </xf>
    <xf numFmtId="1" fontId="9" fillId="10" borderId="37" xfId="0" applyNumberFormat="1" applyFont="1" applyFill="1" applyBorder="1" applyAlignment="1" applyProtection="1">
      <alignment horizontal="center" vertical="center" wrapText="1"/>
      <protection hidden="1"/>
    </xf>
    <xf numFmtId="9" fontId="33" fillId="2" borderId="37" xfId="2" applyFont="1" applyFill="1" applyBorder="1" applyAlignment="1" applyProtection="1">
      <alignment horizontal="center" vertical="center" wrapText="1"/>
      <protection hidden="1"/>
    </xf>
    <xf numFmtId="1" fontId="26" fillId="0" borderId="8" xfId="2" applyNumberFormat="1" applyFont="1" applyFill="1" applyBorder="1" applyAlignment="1" applyProtection="1">
      <alignment horizontal="center" vertical="center" wrapText="1"/>
      <protection hidden="1"/>
    </xf>
    <xf numFmtId="0" fontId="9" fillId="0" borderId="47" xfId="0" applyFont="1" applyBorder="1" applyAlignment="1" applyProtection="1">
      <alignment horizontal="justify" vertical="center" wrapText="1"/>
      <protection hidden="1"/>
    </xf>
    <xf numFmtId="0" fontId="33" fillId="0" borderId="8" xfId="0" applyFont="1" applyBorder="1" applyAlignment="1" applyProtection="1">
      <alignment horizontal="center" vertical="center" wrapText="1"/>
      <protection hidden="1"/>
    </xf>
    <xf numFmtId="9" fontId="26" fillId="0" borderId="8" xfId="2" applyFont="1" applyBorder="1" applyAlignment="1" applyProtection="1">
      <alignment horizontal="center" vertical="center" wrapText="1"/>
      <protection hidden="1"/>
    </xf>
    <xf numFmtId="1" fontId="9" fillId="2" borderId="50" xfId="0" applyNumberFormat="1" applyFont="1" applyFill="1" applyBorder="1" applyAlignment="1" applyProtection="1">
      <alignment horizontal="center" vertical="center" wrapText="1"/>
      <protection hidden="1"/>
    </xf>
    <xf numFmtId="0" fontId="26" fillId="2" borderId="50" xfId="0" applyFont="1" applyFill="1" applyBorder="1" applyAlignment="1" applyProtection="1">
      <alignment horizontal="center" vertical="center"/>
      <protection hidden="1"/>
    </xf>
    <xf numFmtId="0" fontId="26" fillId="0" borderId="60" xfId="0" applyFont="1" applyBorder="1" applyAlignment="1" applyProtection="1">
      <alignment horizontal="center" vertical="center" wrapText="1"/>
      <protection hidden="1"/>
    </xf>
    <xf numFmtId="1" fontId="9" fillId="2" borderId="15" xfId="0" applyNumberFormat="1" applyFont="1" applyFill="1" applyBorder="1" applyAlignment="1" applyProtection="1">
      <alignment horizontal="center" vertical="center" wrapText="1"/>
      <protection hidden="1"/>
    </xf>
    <xf numFmtId="1" fontId="9" fillId="2" borderId="8" xfId="0" applyNumberFormat="1" applyFont="1" applyFill="1" applyBorder="1" applyAlignment="1" applyProtection="1">
      <alignment horizontal="center" vertical="center" wrapText="1"/>
      <protection hidden="1"/>
    </xf>
    <xf numFmtId="1" fontId="9" fillId="10" borderId="8" xfId="0" applyNumberFormat="1" applyFont="1" applyFill="1" applyBorder="1" applyAlignment="1" applyProtection="1">
      <alignment horizontal="center" vertical="center" wrapText="1"/>
      <protection hidden="1"/>
    </xf>
    <xf numFmtId="1" fontId="9" fillId="10" borderId="9" xfId="0" applyNumberFormat="1" applyFont="1" applyFill="1" applyBorder="1" applyAlignment="1" applyProtection="1">
      <alignment horizontal="center" vertical="center" wrapText="1"/>
      <protection hidden="1"/>
    </xf>
    <xf numFmtId="1" fontId="9" fillId="2" borderId="52" xfId="0" applyNumberFormat="1" applyFont="1" applyFill="1" applyBorder="1" applyAlignment="1" applyProtection="1">
      <alignment horizontal="center" vertical="center" wrapText="1"/>
      <protection hidden="1"/>
    </xf>
    <xf numFmtId="9" fontId="33" fillId="2" borderId="9" xfId="2" applyFont="1" applyFill="1" applyBorder="1" applyAlignment="1" applyProtection="1">
      <alignment horizontal="center" vertical="center" wrapText="1"/>
      <protection hidden="1"/>
    </xf>
    <xf numFmtId="0" fontId="26" fillId="2" borderId="59" xfId="0" applyFont="1" applyFill="1" applyBorder="1" applyAlignment="1" applyProtection="1">
      <alignment horizontal="center" vertical="center"/>
      <protection hidden="1"/>
    </xf>
    <xf numFmtId="1" fontId="26" fillId="2" borderId="44" xfId="2" applyNumberFormat="1" applyFont="1" applyFill="1" applyBorder="1" applyAlignment="1" applyProtection="1">
      <alignment horizontal="center" vertical="center" wrapText="1"/>
      <protection hidden="1"/>
    </xf>
    <xf numFmtId="0" fontId="26" fillId="0" borderId="10" xfId="0" applyFont="1" applyBorder="1" applyAlignment="1" applyProtection="1">
      <alignment horizontal="center" vertical="center" wrapText="1"/>
      <protection hidden="1"/>
    </xf>
    <xf numFmtId="0" fontId="26" fillId="0" borderId="11" xfId="0" applyFont="1" applyBorder="1" applyAlignment="1" applyProtection="1">
      <alignment horizontal="center" vertical="center" wrapText="1"/>
      <protection hidden="1"/>
    </xf>
    <xf numFmtId="0" fontId="26" fillId="2" borderId="11" xfId="0" applyFont="1" applyFill="1" applyBorder="1" applyAlignment="1" applyProtection="1">
      <alignment horizontal="justify" vertical="center" wrapText="1"/>
      <protection hidden="1"/>
    </xf>
    <xf numFmtId="0" fontId="26" fillId="2" borderId="57" xfId="0" applyFont="1" applyFill="1" applyBorder="1" applyAlignment="1" applyProtection="1">
      <alignment horizontal="center" vertical="center" wrapText="1"/>
      <protection hidden="1"/>
    </xf>
    <xf numFmtId="1" fontId="9" fillId="2" borderId="10" xfId="0" applyNumberFormat="1" applyFont="1" applyFill="1" applyBorder="1" applyAlignment="1" applyProtection="1">
      <alignment horizontal="center" vertical="center" wrapText="1"/>
      <protection hidden="1"/>
    </xf>
    <xf numFmtId="1" fontId="9" fillId="2" borderId="11" xfId="0" applyNumberFormat="1" applyFont="1" applyFill="1" applyBorder="1" applyAlignment="1" applyProtection="1">
      <alignment horizontal="center" vertical="center" wrapText="1"/>
      <protection hidden="1"/>
    </xf>
    <xf numFmtId="1" fontId="9" fillId="10" borderId="11" xfId="0" applyNumberFormat="1" applyFont="1" applyFill="1" applyBorder="1" applyAlignment="1" applyProtection="1">
      <alignment horizontal="center" vertical="center" wrapText="1"/>
      <protection hidden="1"/>
    </xf>
    <xf numFmtId="1" fontId="9" fillId="10" borderId="12" xfId="0" applyNumberFormat="1" applyFont="1" applyFill="1" applyBorder="1" applyAlignment="1" applyProtection="1">
      <alignment horizontal="center" vertical="center" wrapText="1"/>
      <protection hidden="1"/>
    </xf>
    <xf numFmtId="1" fontId="9" fillId="2" borderId="54" xfId="0" applyNumberFormat="1" applyFont="1" applyFill="1" applyBorder="1" applyAlignment="1" applyProtection="1">
      <alignment horizontal="center" vertical="center" wrapText="1"/>
      <protection hidden="1"/>
    </xf>
    <xf numFmtId="9" fontId="33" fillId="2" borderId="12" xfId="2" applyFont="1" applyFill="1" applyBorder="1" applyAlignment="1" applyProtection="1">
      <alignment horizontal="center" vertical="center" wrapText="1"/>
      <protection hidden="1"/>
    </xf>
    <xf numFmtId="0" fontId="26" fillId="2" borderId="54" xfId="0" applyFont="1" applyFill="1" applyBorder="1" applyAlignment="1" applyProtection="1">
      <alignment horizontal="center" vertical="center"/>
      <protection hidden="1"/>
    </xf>
    <xf numFmtId="1" fontId="26" fillId="2" borderId="11" xfId="0" applyNumberFormat="1" applyFont="1" applyFill="1" applyBorder="1" applyAlignment="1" applyProtection="1">
      <alignment horizontal="center" vertical="center"/>
      <protection hidden="1"/>
    </xf>
    <xf numFmtId="2" fontId="33" fillId="0" borderId="57" xfId="0" applyNumberFormat="1" applyFont="1" applyBorder="1" applyAlignment="1" applyProtection="1">
      <alignment horizontal="center" vertical="center" wrapText="1"/>
      <protection hidden="1"/>
    </xf>
    <xf numFmtId="0" fontId="9" fillId="0" borderId="26" xfId="0" applyFont="1" applyBorder="1" applyAlignment="1" applyProtection="1">
      <alignment horizontal="justify" vertical="center" wrapText="1"/>
      <protection hidden="1"/>
    </xf>
    <xf numFmtId="0" fontId="33" fillId="0" borderId="11" xfId="0" applyFont="1" applyBorder="1" applyAlignment="1" applyProtection="1">
      <alignment horizontal="center" vertical="center" wrapText="1"/>
      <protection hidden="1"/>
    </xf>
    <xf numFmtId="9" fontId="26" fillId="0" borderId="11" xfId="2" applyFont="1" applyBorder="1" applyAlignment="1" applyProtection="1">
      <alignment horizontal="center" vertical="center" wrapText="1"/>
      <protection hidden="1"/>
    </xf>
    <xf numFmtId="2" fontId="33" fillId="0" borderId="11" xfId="0" applyNumberFormat="1" applyFont="1" applyBorder="1" applyAlignment="1" applyProtection="1">
      <alignment horizontal="center" vertical="center" wrapText="1"/>
      <protection hidden="1"/>
    </xf>
    <xf numFmtId="0" fontId="26" fillId="2" borderId="11" xfId="0" applyFont="1" applyFill="1" applyBorder="1" applyAlignment="1" applyProtection="1">
      <alignment horizontal="center" vertical="center" wrapText="1"/>
      <protection hidden="1"/>
    </xf>
    <xf numFmtId="0" fontId="26" fillId="9" borderId="11" xfId="0" applyFont="1" applyFill="1" applyBorder="1" applyAlignment="1" applyProtection="1">
      <alignment horizontal="justify" vertical="center" wrapText="1"/>
      <protection hidden="1"/>
    </xf>
    <xf numFmtId="0" fontId="26" fillId="0" borderId="57" xfId="0" applyFont="1" applyBorder="1" applyAlignment="1" applyProtection="1">
      <alignment horizontal="center" vertical="center" wrapText="1"/>
      <protection hidden="1"/>
    </xf>
    <xf numFmtId="1" fontId="34" fillId="9" borderId="54" xfId="2" applyNumberFormat="1" applyFont="1" applyFill="1" applyBorder="1" applyAlignment="1" applyProtection="1">
      <alignment horizontal="center" vertical="center" wrapText="1"/>
      <protection hidden="1"/>
    </xf>
    <xf numFmtId="1" fontId="34" fillId="9" borderId="11" xfId="2" applyNumberFormat="1" applyFont="1" applyFill="1" applyBorder="1" applyAlignment="1" applyProtection="1">
      <alignment horizontal="center" vertical="center" wrapText="1"/>
      <protection hidden="1"/>
    </xf>
    <xf numFmtId="0" fontId="26" fillId="0" borderId="5" xfId="0" applyFont="1" applyBorder="1" applyAlignment="1" applyProtection="1">
      <alignment horizontal="justify" vertical="center" wrapText="1"/>
      <protection hidden="1"/>
    </xf>
    <xf numFmtId="1" fontId="26" fillId="0" borderId="5" xfId="2" applyNumberFormat="1" applyFont="1" applyFill="1" applyBorder="1" applyAlignment="1" applyProtection="1">
      <alignment horizontal="center" vertical="center" wrapText="1"/>
      <protection hidden="1"/>
    </xf>
    <xf numFmtId="164" fontId="8" fillId="0" borderId="0" xfId="0" applyNumberFormat="1" applyFont="1" applyProtection="1">
      <protection hidden="1"/>
    </xf>
    <xf numFmtId="0" fontId="26" fillId="0" borderId="1" xfId="0" applyFont="1" applyBorder="1" applyAlignment="1" applyProtection="1">
      <alignment horizontal="justify" vertical="center" wrapText="1"/>
      <protection hidden="1"/>
    </xf>
    <xf numFmtId="1" fontId="9" fillId="2" borderId="51" xfId="0" applyNumberFormat="1" applyFont="1" applyFill="1" applyBorder="1" applyAlignment="1" applyProtection="1">
      <alignment horizontal="center" vertical="center" wrapText="1"/>
      <protection hidden="1"/>
    </xf>
    <xf numFmtId="0" fontId="26" fillId="9" borderId="1" xfId="0" applyFont="1" applyFill="1" applyBorder="1" applyAlignment="1" applyProtection="1">
      <alignment horizontal="justify" vertical="center" wrapText="1"/>
      <protection hidden="1"/>
    </xf>
    <xf numFmtId="1" fontId="34" fillId="9" borderId="1" xfId="2" applyNumberFormat="1" applyFont="1" applyFill="1" applyBorder="1" applyAlignment="1" applyProtection="1">
      <alignment horizontal="center" vertical="center" wrapText="1"/>
      <protection hidden="1"/>
    </xf>
    <xf numFmtId="0" fontId="26" fillId="0" borderId="8" xfId="0" applyFont="1" applyBorder="1" applyAlignment="1" applyProtection="1">
      <alignment horizontal="justify" vertical="center" wrapText="1"/>
      <protection hidden="1"/>
    </xf>
    <xf numFmtId="0" fontId="26" fillId="0" borderId="54" xfId="0" applyFont="1" applyBorder="1" applyAlignment="1" applyProtection="1">
      <alignment horizontal="center" vertical="center"/>
      <protection hidden="1"/>
    </xf>
    <xf numFmtId="1" fontId="26" fillId="0" borderId="11" xfId="0" applyNumberFormat="1" applyFont="1" applyBorder="1" applyAlignment="1" applyProtection="1">
      <alignment horizontal="center" vertical="center"/>
      <protection hidden="1"/>
    </xf>
    <xf numFmtId="1" fontId="33" fillId="2" borderId="56" xfId="0" applyNumberFormat="1" applyFont="1" applyFill="1" applyBorder="1" applyAlignment="1" applyProtection="1">
      <alignment horizontal="center" vertical="center" wrapText="1"/>
      <protection hidden="1"/>
    </xf>
    <xf numFmtId="1" fontId="33" fillId="2" borderId="2" xfId="0" applyNumberFormat="1" applyFont="1" applyFill="1" applyBorder="1" applyAlignment="1" applyProtection="1">
      <alignment horizontal="center" vertical="center" wrapText="1"/>
      <protection hidden="1"/>
    </xf>
    <xf numFmtId="1" fontId="33" fillId="2" borderId="36" xfId="0" applyNumberFormat="1" applyFont="1" applyFill="1" applyBorder="1" applyAlignment="1" applyProtection="1">
      <alignment horizontal="center" vertical="center" wrapText="1"/>
      <protection hidden="1"/>
    </xf>
    <xf numFmtId="1" fontId="9" fillId="2" borderId="53" xfId="0" applyNumberFormat="1" applyFont="1" applyFill="1" applyBorder="1" applyAlignment="1" applyProtection="1">
      <alignment horizontal="center" vertical="center" wrapText="1"/>
      <protection hidden="1"/>
    </xf>
    <xf numFmtId="1" fontId="26" fillId="0" borderId="34" xfId="2" applyNumberFormat="1" applyFont="1" applyFill="1" applyBorder="1" applyAlignment="1" applyProtection="1">
      <alignment horizontal="center" vertical="center" wrapText="1"/>
      <protection hidden="1"/>
    </xf>
    <xf numFmtId="0" fontId="9" fillId="0" borderId="65" xfId="0" applyFont="1" applyBorder="1" applyAlignment="1" applyProtection="1">
      <alignment horizontal="justify" vertical="center" wrapText="1"/>
      <protection hidden="1"/>
    </xf>
    <xf numFmtId="0" fontId="33" fillId="0" borderId="34" xfId="0" applyFont="1" applyBorder="1" applyAlignment="1" applyProtection="1">
      <alignment horizontal="center" vertical="center" wrapText="1"/>
      <protection hidden="1"/>
    </xf>
    <xf numFmtId="9" fontId="26" fillId="0" borderId="34" xfId="2" applyFont="1" applyBorder="1" applyAlignment="1" applyProtection="1">
      <alignment horizontal="center" vertical="center" wrapText="1"/>
      <protection hidden="1"/>
    </xf>
    <xf numFmtId="0" fontId="8" fillId="0" borderId="0" xfId="0" applyFont="1" applyAlignment="1" applyProtection="1">
      <alignment horizontal="center"/>
      <protection hidden="1"/>
    </xf>
    <xf numFmtId="0" fontId="8" fillId="0" borderId="6" xfId="0" applyFont="1" applyBorder="1" applyProtection="1">
      <protection locked="0"/>
    </xf>
    <xf numFmtId="0" fontId="8" fillId="0" borderId="7" xfId="0" applyFont="1" applyBorder="1" applyProtection="1">
      <protection locked="0"/>
    </xf>
    <xf numFmtId="0" fontId="8" fillId="0" borderId="9" xfId="0" applyFont="1" applyBorder="1" applyProtection="1">
      <protection locked="0"/>
    </xf>
    <xf numFmtId="0" fontId="8" fillId="0" borderId="12" xfId="0" applyFont="1" applyBorder="1" applyProtection="1">
      <protection locked="0"/>
    </xf>
    <xf numFmtId="0" fontId="33" fillId="0" borderId="5" xfId="0" applyFont="1" applyBorder="1" applyAlignment="1" applyProtection="1">
      <alignment horizontal="center" vertical="center"/>
      <protection locked="0"/>
    </xf>
    <xf numFmtId="0" fontId="33" fillId="0" borderId="1" xfId="0" applyFont="1" applyBorder="1" applyAlignment="1" applyProtection="1">
      <alignment horizontal="center" vertical="center"/>
      <protection locked="0"/>
    </xf>
    <xf numFmtId="0" fontId="33" fillId="0" borderId="8" xfId="0" applyFont="1" applyBorder="1" applyAlignment="1" applyProtection="1">
      <alignment horizontal="center" vertical="center"/>
      <protection locked="0"/>
    </xf>
    <xf numFmtId="0" fontId="33" fillId="0" borderId="11" xfId="0" applyFont="1" applyBorder="1" applyAlignment="1" applyProtection="1">
      <alignment horizontal="center" vertical="center"/>
      <protection locked="0"/>
    </xf>
    <xf numFmtId="0" fontId="39" fillId="0" borderId="5" xfId="0" applyFont="1" applyBorder="1" applyAlignment="1" applyProtection="1">
      <alignment horizontal="center" vertical="center"/>
      <protection locked="0"/>
    </xf>
    <xf numFmtId="0" fontId="33" fillId="0" borderId="34" xfId="0" applyFont="1" applyBorder="1" applyAlignment="1" applyProtection="1">
      <alignment horizontal="center" vertical="center"/>
      <protection locked="0"/>
    </xf>
    <xf numFmtId="1" fontId="8" fillId="0" borderId="0" xfId="0" applyNumberFormat="1" applyFont="1" applyProtection="1">
      <protection hidden="1"/>
    </xf>
    <xf numFmtId="2" fontId="26" fillId="0" borderId="0" xfId="0" applyNumberFormat="1" applyFont="1" applyProtection="1">
      <protection hidden="1"/>
    </xf>
    <xf numFmtId="0" fontId="8" fillId="0" borderId="0" xfId="0" applyFont="1" applyAlignment="1" applyProtection="1">
      <alignment horizontal="center" vertical="center"/>
      <protection hidden="1"/>
    </xf>
    <xf numFmtId="0" fontId="9" fillId="2" borderId="0" xfId="0" applyFont="1" applyFill="1" applyAlignment="1" applyProtection="1">
      <alignment vertical="center" wrapText="1"/>
      <protection hidden="1"/>
    </xf>
    <xf numFmtId="2" fontId="33" fillId="0" borderId="0" xfId="0" applyNumberFormat="1" applyFont="1" applyProtection="1">
      <protection hidden="1"/>
    </xf>
    <xf numFmtId="0" fontId="33" fillId="6" borderId="16" xfId="0" applyFont="1" applyFill="1" applyBorder="1" applyAlignment="1" applyProtection="1">
      <alignment vertical="center" wrapText="1"/>
      <protection hidden="1"/>
    </xf>
    <xf numFmtId="1" fontId="33" fillId="11" borderId="4" xfId="0" applyNumberFormat="1" applyFont="1" applyFill="1" applyBorder="1" applyAlignment="1" applyProtection="1">
      <alignment horizontal="center" vertical="center" wrapText="1"/>
      <protection hidden="1"/>
    </xf>
    <xf numFmtId="2" fontId="33" fillId="11" borderId="16" xfId="0" applyNumberFormat="1" applyFont="1" applyFill="1" applyBorder="1" applyAlignment="1" applyProtection="1">
      <alignment horizontal="center" vertical="center" wrapText="1"/>
      <protection hidden="1"/>
    </xf>
    <xf numFmtId="0" fontId="26" fillId="9" borderId="13" xfId="0" applyFont="1" applyFill="1" applyBorder="1" applyAlignment="1" applyProtection="1">
      <alignment horizontal="justify" vertical="center" wrapText="1"/>
      <protection hidden="1"/>
    </xf>
    <xf numFmtId="1" fontId="9" fillId="0" borderId="5" xfId="0" applyNumberFormat="1" applyFont="1" applyBorder="1" applyAlignment="1" applyProtection="1">
      <alignment horizontal="center" vertical="center" wrapText="1"/>
      <protection hidden="1"/>
    </xf>
    <xf numFmtId="1" fontId="34" fillId="9" borderId="5" xfId="2" applyNumberFormat="1" applyFont="1" applyFill="1" applyBorder="1" applyAlignment="1" applyProtection="1">
      <alignment horizontal="center" vertical="center" wrapText="1"/>
      <protection hidden="1"/>
    </xf>
    <xf numFmtId="0" fontId="9" fillId="0" borderId="13" xfId="0" applyFont="1" applyBorder="1" applyAlignment="1" applyProtection="1">
      <alignment horizontal="justify" vertical="center" wrapText="1"/>
      <protection hidden="1"/>
    </xf>
    <xf numFmtId="9" fontId="26" fillId="0" borderId="50" xfId="2" applyFont="1" applyBorder="1" applyAlignment="1" applyProtection="1">
      <alignment horizontal="center" vertical="center"/>
      <protection hidden="1"/>
    </xf>
    <xf numFmtId="0" fontId="26" fillId="2" borderId="14" xfId="0" applyFont="1" applyFill="1" applyBorder="1" applyAlignment="1" applyProtection="1">
      <alignment horizontal="justify" vertical="center" wrapText="1"/>
      <protection hidden="1"/>
    </xf>
    <xf numFmtId="1" fontId="9" fillId="0" borderId="1" xfId="0" applyNumberFormat="1" applyFont="1" applyBorder="1" applyAlignment="1" applyProtection="1">
      <alignment horizontal="center" vertical="center" wrapText="1"/>
      <protection hidden="1"/>
    </xf>
    <xf numFmtId="1" fontId="37" fillId="2" borderId="14" xfId="0" applyNumberFormat="1" applyFont="1" applyFill="1" applyBorder="1" applyAlignment="1" applyProtection="1">
      <alignment horizontal="center" vertical="center" wrapText="1"/>
      <protection hidden="1"/>
    </xf>
    <xf numFmtId="0" fontId="9" fillId="0" borderId="14" xfId="0" applyFont="1" applyBorder="1" applyAlignment="1" applyProtection="1">
      <alignment horizontal="justify" vertical="center" wrapText="1"/>
      <protection hidden="1"/>
    </xf>
    <xf numFmtId="9" fontId="26" fillId="0" borderId="51" xfId="2" applyFont="1" applyBorder="1" applyAlignment="1" applyProtection="1">
      <alignment horizontal="center" vertical="center"/>
      <protection hidden="1"/>
    </xf>
    <xf numFmtId="0" fontId="26" fillId="13" borderId="14" xfId="0" applyFont="1" applyFill="1" applyBorder="1" applyAlignment="1" applyProtection="1">
      <alignment horizontal="justify" vertical="center" wrapText="1"/>
      <protection hidden="1"/>
    </xf>
    <xf numFmtId="1" fontId="26" fillId="13" borderId="1" xfId="2" applyNumberFormat="1" applyFont="1" applyFill="1" applyBorder="1" applyAlignment="1" applyProtection="1">
      <alignment horizontal="center" vertical="center" wrapText="1"/>
      <protection hidden="1"/>
    </xf>
    <xf numFmtId="0" fontId="26" fillId="2" borderId="15" xfId="0" applyFont="1" applyFill="1" applyBorder="1" applyAlignment="1" applyProtection="1">
      <alignment horizontal="justify" vertical="center" wrapText="1"/>
      <protection hidden="1"/>
    </xf>
    <xf numFmtId="1" fontId="9" fillId="0" borderId="8" xfId="0" applyNumberFormat="1" applyFont="1" applyBorder="1" applyAlignment="1" applyProtection="1">
      <alignment horizontal="center" vertical="center" wrapText="1"/>
      <protection hidden="1"/>
    </xf>
    <xf numFmtId="1" fontId="37" fillId="2" borderId="15" xfId="0" applyNumberFormat="1" applyFont="1" applyFill="1" applyBorder="1" applyAlignment="1" applyProtection="1">
      <alignment horizontal="center" vertical="center" wrapText="1"/>
      <protection hidden="1"/>
    </xf>
    <xf numFmtId="0" fontId="9" fillId="0" borderId="15" xfId="0" applyFont="1" applyBorder="1" applyAlignment="1" applyProtection="1">
      <alignment horizontal="justify" vertical="center" wrapText="1"/>
      <protection hidden="1"/>
    </xf>
    <xf numFmtId="9" fontId="26" fillId="0" borderId="52" xfId="2" applyFont="1" applyBorder="1" applyAlignment="1" applyProtection="1">
      <alignment horizontal="center" vertical="center"/>
      <protection hidden="1"/>
    </xf>
    <xf numFmtId="0" fontId="26" fillId="13" borderId="13" xfId="0" applyFont="1" applyFill="1" applyBorder="1" applyAlignment="1" applyProtection="1">
      <alignment horizontal="justify" vertical="center" wrapText="1"/>
      <protection hidden="1"/>
    </xf>
    <xf numFmtId="1" fontId="9" fillId="2" borderId="40" xfId="0" applyNumberFormat="1" applyFont="1" applyFill="1" applyBorder="1" applyAlignment="1" applyProtection="1">
      <alignment horizontal="center" vertical="center" wrapText="1"/>
      <protection hidden="1"/>
    </xf>
    <xf numFmtId="1" fontId="9" fillId="2" borderId="41" xfId="0" applyNumberFormat="1" applyFont="1" applyFill="1" applyBorder="1" applyAlignment="1" applyProtection="1">
      <alignment horizontal="center" vertical="center" wrapText="1"/>
      <protection hidden="1"/>
    </xf>
    <xf numFmtId="1" fontId="9" fillId="10" borderId="41" xfId="0" applyNumberFormat="1" applyFont="1" applyFill="1" applyBorder="1" applyAlignment="1" applyProtection="1">
      <alignment horizontal="center" vertical="center" wrapText="1"/>
      <protection hidden="1"/>
    </xf>
    <xf numFmtId="1" fontId="9" fillId="0" borderId="41" xfId="0" applyNumberFormat="1" applyFont="1" applyBorder="1" applyAlignment="1" applyProtection="1">
      <alignment horizontal="center" vertical="center" wrapText="1"/>
      <protection hidden="1"/>
    </xf>
    <xf numFmtId="1" fontId="9" fillId="10" borderId="42" xfId="0" applyNumberFormat="1" applyFont="1" applyFill="1" applyBorder="1" applyAlignment="1" applyProtection="1">
      <alignment horizontal="center" vertical="center" wrapText="1"/>
      <protection hidden="1"/>
    </xf>
    <xf numFmtId="1" fontId="26" fillId="13" borderId="5" xfId="2" applyNumberFormat="1" applyFont="1" applyFill="1" applyBorder="1" applyAlignment="1" applyProtection="1">
      <alignment horizontal="center" vertical="center" wrapText="1"/>
      <protection hidden="1"/>
    </xf>
    <xf numFmtId="1" fontId="26" fillId="2" borderId="1" xfId="2" applyNumberFormat="1" applyFont="1" applyFill="1" applyBorder="1" applyAlignment="1" applyProtection="1">
      <alignment horizontal="center" vertical="center" wrapText="1"/>
      <protection hidden="1"/>
    </xf>
    <xf numFmtId="1" fontId="26" fillId="2" borderId="8" xfId="2" applyNumberFormat="1" applyFont="1" applyFill="1" applyBorder="1" applyAlignment="1" applyProtection="1">
      <alignment horizontal="center" vertical="center" wrapText="1"/>
      <protection hidden="1"/>
    </xf>
    <xf numFmtId="0" fontId="26" fillId="0" borderId="38" xfId="0" applyFont="1" applyBorder="1" applyAlignment="1" applyProtection="1">
      <alignment horizontal="center" vertical="center" wrapText="1"/>
      <protection hidden="1"/>
    </xf>
    <xf numFmtId="0" fontId="26" fillId="2" borderId="40" xfId="0" applyFont="1" applyFill="1" applyBorder="1" applyAlignment="1" applyProtection="1">
      <alignment horizontal="justify" vertical="center" wrapText="1"/>
      <protection hidden="1"/>
    </xf>
    <xf numFmtId="0" fontId="26" fillId="2" borderId="38" xfId="0" applyFont="1" applyFill="1" applyBorder="1" applyAlignment="1" applyProtection="1">
      <alignment horizontal="center" vertical="center" wrapText="1"/>
      <protection hidden="1"/>
    </xf>
    <xf numFmtId="9" fontId="33" fillId="2" borderId="42" xfId="2" applyFont="1" applyFill="1" applyBorder="1" applyAlignment="1" applyProtection="1">
      <alignment horizontal="center" vertical="center" wrapText="1"/>
      <protection hidden="1"/>
    </xf>
    <xf numFmtId="1" fontId="26" fillId="2" borderId="41" xfId="0" applyNumberFormat="1" applyFont="1" applyFill="1" applyBorder="1" applyAlignment="1" applyProtection="1">
      <alignment horizontal="center" vertical="center"/>
      <protection hidden="1"/>
    </xf>
    <xf numFmtId="0" fontId="9" fillId="0" borderId="40" xfId="0" applyFont="1" applyBorder="1" applyAlignment="1" applyProtection="1">
      <alignment horizontal="justify" vertical="center" wrapText="1"/>
      <protection hidden="1"/>
    </xf>
    <xf numFmtId="0" fontId="26" fillId="0" borderId="41" xfId="0" applyFont="1" applyBorder="1" applyAlignment="1" applyProtection="1">
      <alignment horizontal="center" vertical="center" wrapText="1"/>
      <protection hidden="1"/>
    </xf>
    <xf numFmtId="9" fontId="26" fillId="0" borderId="67" xfId="2" applyFont="1" applyBorder="1" applyAlignment="1" applyProtection="1">
      <alignment horizontal="center" vertical="center"/>
      <protection hidden="1"/>
    </xf>
    <xf numFmtId="0" fontId="26" fillId="2" borderId="2" xfId="0" applyFont="1" applyFill="1" applyBorder="1" applyAlignment="1" applyProtection="1">
      <alignment horizontal="center" vertical="center" wrapText="1"/>
      <protection hidden="1"/>
    </xf>
    <xf numFmtId="1" fontId="26" fillId="2" borderId="1" xfId="0" applyNumberFormat="1" applyFont="1" applyFill="1" applyBorder="1" applyAlignment="1" applyProtection="1">
      <alignment horizontal="center" vertical="center"/>
      <protection hidden="1"/>
    </xf>
    <xf numFmtId="0" fontId="26" fillId="0" borderId="36" xfId="0" applyFont="1" applyBorder="1" applyAlignment="1" applyProtection="1">
      <alignment horizontal="center" vertical="center" wrapText="1"/>
      <protection hidden="1"/>
    </xf>
    <xf numFmtId="0" fontId="26" fillId="2" borderId="33" xfId="0" applyFont="1" applyFill="1" applyBorder="1" applyAlignment="1" applyProtection="1">
      <alignment horizontal="justify" vertical="center" wrapText="1"/>
      <protection hidden="1"/>
    </xf>
    <xf numFmtId="0" fontId="26" fillId="2" borderId="36" xfId="0" applyFont="1" applyFill="1" applyBorder="1" applyAlignment="1" applyProtection="1">
      <alignment horizontal="center" vertical="center" wrapText="1"/>
      <protection hidden="1"/>
    </xf>
    <xf numFmtId="1" fontId="37" fillId="2" borderId="33" xfId="0" applyNumberFormat="1" applyFont="1" applyFill="1" applyBorder="1" applyAlignment="1" applyProtection="1">
      <alignment horizontal="center" vertical="center" wrapText="1"/>
      <protection hidden="1"/>
    </xf>
    <xf numFmtId="1" fontId="26" fillId="2" borderId="34" xfId="0" applyNumberFormat="1" applyFont="1" applyFill="1" applyBorder="1" applyAlignment="1" applyProtection="1">
      <alignment horizontal="center" vertical="center"/>
      <protection hidden="1"/>
    </xf>
    <xf numFmtId="0" fontId="9" fillId="0" borderId="33" xfId="0" applyFont="1" applyBorder="1" applyAlignment="1" applyProtection="1">
      <alignment horizontal="justify" vertical="center" wrapText="1"/>
      <protection hidden="1"/>
    </xf>
    <xf numFmtId="0" fontId="26" fillId="0" borderId="34" xfId="0" applyFont="1" applyBorder="1" applyAlignment="1" applyProtection="1">
      <alignment horizontal="center" vertical="center" wrapText="1"/>
      <protection hidden="1"/>
    </xf>
    <xf numFmtId="9" fontId="26" fillId="0" borderId="53" xfId="2" applyFont="1" applyBorder="1" applyAlignment="1" applyProtection="1">
      <alignment horizontal="center" vertical="center"/>
      <protection hidden="1"/>
    </xf>
    <xf numFmtId="0" fontId="26" fillId="2" borderId="56" xfId="0" applyFont="1" applyFill="1" applyBorder="1" applyAlignment="1" applyProtection="1">
      <alignment horizontal="center" vertical="center" wrapText="1"/>
      <protection hidden="1"/>
    </xf>
    <xf numFmtId="0" fontId="26" fillId="2" borderId="13" xfId="0" applyFont="1" applyFill="1" applyBorder="1" applyAlignment="1" applyProtection="1">
      <alignment horizontal="justify" vertical="center" wrapText="1"/>
      <protection hidden="1"/>
    </xf>
    <xf numFmtId="0" fontId="26" fillId="9" borderId="14" xfId="0" applyFont="1" applyFill="1" applyBorder="1" applyAlignment="1" applyProtection="1">
      <alignment horizontal="justify" vertical="center" wrapText="1"/>
      <protection hidden="1"/>
    </xf>
    <xf numFmtId="1" fontId="34" fillId="9" borderId="1" xfId="0" applyNumberFormat="1" applyFont="1" applyFill="1" applyBorder="1" applyAlignment="1" applyProtection="1">
      <alignment horizontal="center" vertical="center"/>
      <protection hidden="1"/>
    </xf>
    <xf numFmtId="0" fontId="26" fillId="2" borderId="58" xfId="0" applyFont="1" applyFill="1" applyBorder="1" applyAlignment="1" applyProtection="1">
      <alignment horizontal="center" vertical="center" wrapText="1"/>
      <protection hidden="1"/>
    </xf>
    <xf numFmtId="0" fontId="26" fillId="9" borderId="15" xfId="0" applyFont="1" applyFill="1" applyBorder="1" applyAlignment="1" applyProtection="1">
      <alignment horizontal="justify" vertical="center" wrapText="1"/>
      <protection hidden="1"/>
    </xf>
    <xf numFmtId="1" fontId="34" fillId="9" borderId="8" xfId="2" applyNumberFormat="1" applyFont="1" applyFill="1" applyBorder="1" applyAlignment="1" applyProtection="1">
      <alignment horizontal="center" vertical="center" wrapText="1"/>
      <protection hidden="1"/>
    </xf>
    <xf numFmtId="0" fontId="26" fillId="0" borderId="40" xfId="0" applyFont="1" applyBorder="1" applyAlignment="1" applyProtection="1">
      <alignment horizontal="justify" vertical="center" wrapText="1"/>
      <protection hidden="1"/>
    </xf>
    <xf numFmtId="1" fontId="26" fillId="0" borderId="41" xfId="2" applyNumberFormat="1" applyFont="1" applyFill="1" applyBorder="1" applyAlignment="1" applyProtection="1">
      <alignment horizontal="center" vertical="center" wrapText="1"/>
      <protection hidden="1"/>
    </xf>
    <xf numFmtId="0" fontId="26" fillId="0" borderId="14" xfId="0" applyFont="1" applyBorder="1" applyAlignment="1" applyProtection="1">
      <alignment horizontal="justify" vertical="center" wrapText="1"/>
      <protection hidden="1"/>
    </xf>
    <xf numFmtId="0" fontId="26" fillId="0" borderId="15" xfId="0" applyFont="1" applyBorder="1" applyAlignment="1" applyProtection="1">
      <alignment horizontal="justify" vertical="center" wrapText="1"/>
      <protection hidden="1"/>
    </xf>
    <xf numFmtId="0" fontId="26" fillId="2" borderId="10" xfId="0" applyFont="1" applyFill="1" applyBorder="1" applyAlignment="1" applyProtection="1">
      <alignment horizontal="justify" vertical="center" wrapText="1"/>
      <protection hidden="1"/>
    </xf>
    <xf numFmtId="1" fontId="9" fillId="2" borderId="44" xfId="0" applyNumberFormat="1" applyFont="1" applyFill="1" applyBorder="1" applyAlignment="1" applyProtection="1">
      <alignment horizontal="center" vertical="center" wrapText="1"/>
      <protection hidden="1"/>
    </xf>
    <xf numFmtId="1" fontId="9" fillId="10" borderId="44" xfId="0" applyNumberFormat="1" applyFont="1" applyFill="1" applyBorder="1" applyAlignment="1" applyProtection="1">
      <alignment horizontal="center" vertical="center" wrapText="1"/>
      <protection hidden="1"/>
    </xf>
    <xf numFmtId="1" fontId="9" fillId="0" borderId="44" xfId="0" applyNumberFormat="1" applyFont="1" applyBorder="1" applyAlignment="1" applyProtection="1">
      <alignment horizontal="center" vertical="center" wrapText="1"/>
      <protection hidden="1"/>
    </xf>
    <xf numFmtId="1" fontId="9" fillId="10" borderId="55" xfId="0" applyNumberFormat="1" applyFont="1" applyFill="1" applyBorder="1" applyAlignment="1" applyProtection="1">
      <alignment horizontal="center" vertical="center" wrapText="1"/>
      <protection hidden="1"/>
    </xf>
    <xf numFmtId="1" fontId="37" fillId="2" borderId="54" xfId="0" applyNumberFormat="1" applyFont="1" applyFill="1" applyBorder="1" applyAlignment="1" applyProtection="1">
      <alignment horizontal="center" vertical="center" wrapText="1"/>
      <protection hidden="1"/>
    </xf>
    <xf numFmtId="0" fontId="26" fillId="0" borderId="10" xfId="0" applyFont="1" applyBorder="1" applyAlignment="1" applyProtection="1">
      <alignment horizontal="center" vertical="center"/>
      <protection hidden="1"/>
    </xf>
    <xf numFmtId="0" fontId="9" fillId="0" borderId="10" xfId="0" applyFont="1" applyBorder="1" applyAlignment="1" applyProtection="1">
      <alignment horizontal="justify" vertical="center" wrapText="1"/>
      <protection hidden="1"/>
    </xf>
    <xf numFmtId="9" fontId="26" fillId="0" borderId="54" xfId="2" applyFont="1" applyBorder="1" applyAlignment="1" applyProtection="1">
      <alignment horizontal="center" vertical="center"/>
      <protection hidden="1"/>
    </xf>
    <xf numFmtId="0" fontId="26" fillId="0" borderId="13" xfId="0" applyFont="1" applyBorder="1" applyAlignment="1" applyProtection="1">
      <alignment horizontal="justify" vertical="center" wrapText="1"/>
      <protection hidden="1"/>
    </xf>
    <xf numFmtId="1" fontId="26" fillId="0" borderId="1" xfId="2" applyNumberFormat="1" applyFont="1" applyBorder="1" applyAlignment="1" applyProtection="1">
      <alignment horizontal="center" vertical="center" wrapText="1"/>
      <protection hidden="1"/>
    </xf>
    <xf numFmtId="1" fontId="26" fillId="0" borderId="8" xfId="2" applyNumberFormat="1" applyFont="1" applyBorder="1" applyAlignment="1" applyProtection="1">
      <alignment horizontal="center" vertical="center" wrapText="1"/>
      <protection hidden="1"/>
    </xf>
    <xf numFmtId="0" fontId="33" fillId="0" borderId="6" xfId="0" applyFont="1" applyBorder="1" applyAlignment="1" applyProtection="1">
      <alignment horizontal="center" vertical="center"/>
      <protection locked="0"/>
    </xf>
    <xf numFmtId="0" fontId="8" fillId="0" borderId="7"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8" fillId="0" borderId="42" xfId="0" applyFont="1" applyBorder="1" applyAlignment="1" applyProtection="1">
      <alignment horizontal="center" vertical="center"/>
      <protection locked="0"/>
    </xf>
    <xf numFmtId="0" fontId="8" fillId="0" borderId="37"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0" borderId="42" xfId="0" applyFont="1" applyBorder="1" applyProtection="1">
      <protection locked="0"/>
    </xf>
    <xf numFmtId="0" fontId="8" fillId="0" borderId="37" xfId="0" applyFont="1" applyBorder="1" applyProtection="1">
      <protection locked="0"/>
    </xf>
    <xf numFmtId="1" fontId="9" fillId="2" borderId="51" xfId="0" applyNumberFormat="1" applyFont="1" applyFill="1" applyBorder="1" applyAlignment="1" applyProtection="1">
      <alignment horizontal="center" vertical="center" wrapText="1"/>
      <protection locked="0"/>
    </xf>
    <xf numFmtId="164" fontId="26" fillId="0" borderId="0" xfId="0" applyNumberFormat="1" applyFont="1" applyProtection="1">
      <protection hidden="1"/>
    </xf>
    <xf numFmtId="0" fontId="33" fillId="6" borderId="28" xfId="0" applyFont="1" applyFill="1" applyBorder="1" applyAlignment="1" applyProtection="1">
      <alignment horizontal="center" vertical="center" wrapText="1"/>
      <protection hidden="1"/>
    </xf>
    <xf numFmtId="0" fontId="33" fillId="6" borderId="32" xfId="0" applyFont="1" applyFill="1" applyBorder="1" applyAlignment="1" applyProtection="1">
      <alignment horizontal="center" vertical="center" wrapText="1"/>
      <protection hidden="1"/>
    </xf>
    <xf numFmtId="0" fontId="33" fillId="12" borderId="10" xfId="0" applyFont="1" applyFill="1" applyBorder="1" applyAlignment="1" applyProtection="1">
      <alignment horizontal="center" vertical="center" wrapText="1"/>
      <protection hidden="1"/>
    </xf>
    <xf numFmtId="164" fontId="33" fillId="12" borderId="11" xfId="0" applyNumberFormat="1" applyFont="1" applyFill="1" applyBorder="1" applyAlignment="1" applyProtection="1">
      <alignment horizontal="center" vertical="center" wrapText="1"/>
      <protection hidden="1"/>
    </xf>
    <xf numFmtId="0" fontId="33" fillId="12" borderId="12" xfId="0" applyFont="1" applyFill="1" applyBorder="1" applyAlignment="1" applyProtection="1">
      <alignment horizontal="center" vertical="center" wrapText="1"/>
      <protection hidden="1"/>
    </xf>
    <xf numFmtId="0" fontId="2" fillId="13" borderId="5" xfId="0" applyFont="1" applyFill="1" applyBorder="1" applyAlignment="1" applyProtection="1">
      <alignment horizontal="justify" vertical="center" wrapText="1"/>
      <protection hidden="1"/>
    </xf>
    <xf numFmtId="1" fontId="37" fillId="2" borderId="50" xfId="0" applyNumberFormat="1" applyFont="1" applyFill="1" applyBorder="1" applyAlignment="1" applyProtection="1">
      <alignment horizontal="center" vertical="center" wrapText="1"/>
      <protection hidden="1"/>
    </xf>
    <xf numFmtId="1" fontId="37" fillId="2" borderId="5" xfId="0" applyNumberFormat="1" applyFont="1" applyFill="1" applyBorder="1" applyAlignment="1" applyProtection="1">
      <alignment horizontal="center" vertical="center" wrapText="1"/>
      <protection hidden="1"/>
    </xf>
    <xf numFmtId="0" fontId="9" fillId="0" borderId="64" xfId="0" applyFont="1" applyBorder="1" applyAlignment="1" applyProtection="1">
      <alignment horizontal="justify" vertical="center" wrapText="1"/>
      <protection hidden="1"/>
    </xf>
    <xf numFmtId="0" fontId="33" fillId="0" borderId="41" xfId="0" applyFont="1" applyBorder="1" applyAlignment="1" applyProtection="1">
      <alignment horizontal="center" vertical="center" wrapText="1"/>
      <protection hidden="1"/>
    </xf>
    <xf numFmtId="9" fontId="26" fillId="0" borderId="40" xfId="2" applyFont="1" applyBorder="1" applyAlignment="1" applyProtection="1">
      <alignment horizontal="center" vertical="center"/>
      <protection hidden="1"/>
    </xf>
    <xf numFmtId="0" fontId="2" fillId="2" borderId="1" xfId="0" applyFont="1" applyFill="1" applyBorder="1" applyAlignment="1" applyProtection="1">
      <alignment horizontal="justify" vertical="center" wrapText="1"/>
      <protection hidden="1"/>
    </xf>
    <xf numFmtId="1" fontId="37" fillId="2" borderId="51" xfId="0" applyNumberFormat="1" applyFont="1" applyFill="1" applyBorder="1" applyAlignment="1" applyProtection="1">
      <alignment horizontal="center" vertical="center" wrapText="1"/>
      <protection hidden="1"/>
    </xf>
    <xf numFmtId="1" fontId="37" fillId="2" borderId="1" xfId="0" applyNumberFormat="1" applyFont="1" applyFill="1" applyBorder="1" applyAlignment="1" applyProtection="1">
      <alignment horizontal="center" vertical="center" wrapText="1"/>
      <protection hidden="1"/>
    </xf>
    <xf numFmtId="9" fontId="26" fillId="0" borderId="14" xfId="2" applyFont="1" applyBorder="1" applyAlignment="1" applyProtection="1">
      <alignment horizontal="center" vertical="center"/>
      <protection hidden="1"/>
    </xf>
    <xf numFmtId="0" fontId="2" fillId="13" borderId="1" xfId="0" applyFont="1" applyFill="1" applyBorder="1" applyAlignment="1" applyProtection="1">
      <alignment horizontal="justify" vertical="center" wrapText="1"/>
      <protection hidden="1"/>
    </xf>
    <xf numFmtId="1" fontId="37" fillId="2" borderId="53" xfId="0" applyNumberFormat="1" applyFont="1" applyFill="1" applyBorder="1" applyAlignment="1" applyProtection="1">
      <alignment horizontal="center" vertical="center" wrapText="1"/>
      <protection hidden="1"/>
    </xf>
    <xf numFmtId="1" fontId="26" fillId="13" borderId="1" xfId="0" applyNumberFormat="1" applyFont="1" applyFill="1" applyBorder="1" applyAlignment="1" applyProtection="1">
      <alignment horizontal="center" vertical="center"/>
      <protection hidden="1"/>
    </xf>
    <xf numFmtId="0" fontId="2" fillId="0" borderId="8" xfId="0" applyFont="1" applyBorder="1" applyAlignment="1" applyProtection="1">
      <alignment horizontal="justify" vertical="center" wrapText="1"/>
      <protection hidden="1"/>
    </xf>
    <xf numFmtId="1" fontId="37" fillId="2" borderId="8" xfId="0" applyNumberFormat="1" applyFont="1" applyFill="1" applyBorder="1" applyAlignment="1" applyProtection="1">
      <alignment horizontal="center" vertical="center" wrapText="1"/>
      <protection hidden="1"/>
    </xf>
    <xf numFmtId="1" fontId="37" fillId="10" borderId="8" xfId="0" applyNumberFormat="1" applyFont="1" applyFill="1" applyBorder="1" applyAlignment="1" applyProtection="1">
      <alignment horizontal="center" vertical="center" wrapText="1"/>
      <protection hidden="1"/>
    </xf>
    <xf numFmtId="1" fontId="37" fillId="0" borderId="8" xfId="0" applyNumberFormat="1" applyFont="1" applyBorder="1" applyAlignment="1" applyProtection="1">
      <alignment horizontal="center" vertical="center" wrapText="1"/>
      <protection hidden="1"/>
    </xf>
    <xf numFmtId="1" fontId="37" fillId="10" borderId="58" xfId="0" applyNumberFormat="1" applyFont="1" applyFill="1" applyBorder="1" applyAlignment="1" applyProtection="1">
      <alignment horizontal="center" vertical="center" wrapText="1"/>
      <protection hidden="1"/>
    </xf>
    <xf numFmtId="1" fontId="37" fillId="2" borderId="52" xfId="0" applyNumberFormat="1" applyFont="1" applyFill="1" applyBorder="1" applyAlignment="1" applyProtection="1">
      <alignment horizontal="center" vertical="center" wrapText="1"/>
      <protection hidden="1"/>
    </xf>
    <xf numFmtId="9" fontId="26" fillId="0" borderId="15" xfId="2" applyFont="1" applyBorder="1" applyAlignment="1" applyProtection="1">
      <alignment horizontal="center" vertical="center"/>
      <protection hidden="1"/>
    </xf>
    <xf numFmtId="0" fontId="2" fillId="0" borderId="5" xfId="0" applyFont="1" applyBorder="1" applyAlignment="1" applyProtection="1">
      <alignment horizontal="justify" vertical="center" wrapText="1"/>
      <protection hidden="1"/>
    </xf>
    <xf numFmtId="9" fontId="26" fillId="0" borderId="13" xfId="2" applyFont="1" applyBorder="1" applyAlignment="1" applyProtection="1">
      <alignment horizontal="center" vertical="center"/>
      <protection hidden="1"/>
    </xf>
    <xf numFmtId="0" fontId="2" fillId="9" borderId="1" xfId="0" applyFont="1" applyFill="1" applyBorder="1" applyAlignment="1" applyProtection="1">
      <alignment horizontal="justify" vertical="center" wrapText="1"/>
      <protection hidden="1"/>
    </xf>
    <xf numFmtId="0" fontId="2" fillId="0" borderId="34" xfId="0" applyFont="1" applyBorder="1" applyAlignment="1" applyProtection="1">
      <alignment horizontal="justify" vertical="center" wrapText="1"/>
      <protection hidden="1"/>
    </xf>
    <xf numFmtId="1" fontId="9" fillId="0" borderId="34" xfId="0" applyNumberFormat="1" applyFont="1" applyBorder="1" applyAlignment="1" applyProtection="1">
      <alignment horizontal="center" vertical="center" wrapText="1"/>
      <protection hidden="1"/>
    </xf>
    <xf numFmtId="9" fontId="26" fillId="0" borderId="33" xfId="2" applyFont="1" applyBorder="1" applyAlignment="1" applyProtection="1">
      <alignment horizontal="center" vertical="center"/>
      <protection hidden="1"/>
    </xf>
    <xf numFmtId="0" fontId="2" fillId="0" borderId="50" xfId="0" applyFont="1" applyBorder="1" applyAlignment="1" applyProtection="1">
      <alignment horizontal="justify" vertical="center" wrapText="1"/>
      <protection hidden="1"/>
    </xf>
    <xf numFmtId="1" fontId="9" fillId="2" borderId="32" xfId="0" applyNumberFormat="1" applyFont="1" applyFill="1" applyBorder="1" applyAlignment="1" applyProtection="1">
      <alignment horizontal="center" vertical="center" wrapText="1"/>
      <protection hidden="1"/>
    </xf>
    <xf numFmtId="1" fontId="26" fillId="0" borderId="5" xfId="0" applyNumberFormat="1" applyFont="1" applyBorder="1" applyAlignment="1" applyProtection="1">
      <alignment horizontal="center" vertical="center"/>
      <protection hidden="1"/>
    </xf>
    <xf numFmtId="0" fontId="2" fillId="2" borderId="52" xfId="0" applyFont="1" applyFill="1" applyBorder="1" applyAlignment="1" applyProtection="1">
      <alignment horizontal="justify" vertical="center" wrapText="1"/>
      <protection hidden="1"/>
    </xf>
    <xf numFmtId="0" fontId="26" fillId="0" borderId="48" xfId="0" applyFont="1" applyBorder="1" applyAlignment="1" applyProtection="1">
      <alignment horizontal="center" vertical="center"/>
      <protection hidden="1"/>
    </xf>
    <xf numFmtId="1" fontId="26" fillId="0" borderId="8" xfId="0" applyNumberFormat="1" applyFont="1" applyBorder="1" applyAlignment="1" applyProtection="1">
      <alignment horizontal="center" vertical="center"/>
      <protection hidden="1"/>
    </xf>
    <xf numFmtId="0" fontId="26" fillId="0" borderId="48" xfId="0" applyFont="1" applyBorder="1" applyAlignment="1" applyProtection="1">
      <alignment vertical="center" wrapText="1"/>
      <protection hidden="1"/>
    </xf>
    <xf numFmtId="0" fontId="26" fillId="0" borderId="44" xfId="0" applyFont="1" applyBorder="1" applyAlignment="1" applyProtection="1">
      <alignment vertical="center" wrapText="1"/>
      <protection hidden="1"/>
    </xf>
    <xf numFmtId="0" fontId="2" fillId="0" borderId="44" xfId="0" applyFont="1" applyBorder="1" applyAlignment="1" applyProtection="1">
      <alignment horizontal="justify" vertical="center" wrapText="1"/>
      <protection hidden="1"/>
    </xf>
    <xf numFmtId="1" fontId="9" fillId="2" borderId="59" xfId="0" applyNumberFormat="1" applyFont="1" applyFill="1" applyBorder="1" applyAlignment="1" applyProtection="1">
      <alignment horizontal="center" vertical="center" wrapText="1"/>
      <protection hidden="1"/>
    </xf>
    <xf numFmtId="9" fontId="33" fillId="2" borderId="55" xfId="2" applyFont="1" applyFill="1" applyBorder="1" applyAlignment="1" applyProtection="1">
      <alignment horizontal="center" vertical="center" wrapText="1"/>
      <protection hidden="1"/>
    </xf>
    <xf numFmtId="1" fontId="26" fillId="0" borderId="44" xfId="2" applyNumberFormat="1" applyFont="1" applyFill="1" applyBorder="1" applyAlignment="1" applyProtection="1">
      <alignment horizontal="center" vertical="center" wrapText="1"/>
      <protection hidden="1"/>
    </xf>
    <xf numFmtId="2" fontId="33" fillId="0" borderId="55" xfId="0" applyNumberFormat="1" applyFont="1" applyBorder="1" applyAlignment="1" applyProtection="1">
      <alignment horizontal="center" vertical="center" wrapText="1"/>
      <protection hidden="1"/>
    </xf>
    <xf numFmtId="0" fontId="9" fillId="0" borderId="22" xfId="0" applyFont="1" applyBorder="1" applyAlignment="1" applyProtection="1">
      <alignment horizontal="justify" vertical="center" wrapText="1"/>
      <protection hidden="1"/>
    </xf>
    <xf numFmtId="0" fontId="33" fillId="0" borderId="44" xfId="0" applyFont="1" applyBorder="1" applyAlignment="1" applyProtection="1">
      <alignment horizontal="center" vertical="center" wrapText="1"/>
      <protection hidden="1"/>
    </xf>
    <xf numFmtId="9" fontId="26" fillId="0" borderId="48" xfId="2" applyFont="1" applyBorder="1" applyAlignment="1" applyProtection="1">
      <alignment horizontal="center" vertical="center"/>
      <protection hidden="1"/>
    </xf>
    <xf numFmtId="2" fontId="26" fillId="0" borderId="44" xfId="2" applyNumberFormat="1" applyFont="1" applyBorder="1" applyAlignment="1" applyProtection="1">
      <alignment horizontal="center" vertical="center"/>
      <protection hidden="1"/>
    </xf>
    <xf numFmtId="1" fontId="9" fillId="10" borderId="4" xfId="0" applyNumberFormat="1" applyFont="1" applyFill="1" applyBorder="1" applyAlignment="1" applyProtection="1">
      <alignment horizontal="center" vertical="center" wrapText="1"/>
      <protection hidden="1"/>
    </xf>
    <xf numFmtId="1" fontId="33" fillId="0" borderId="5" xfId="0" applyNumberFormat="1" applyFont="1" applyBorder="1" applyAlignment="1" applyProtection="1">
      <alignment horizontal="center" vertical="center" wrapText="1"/>
      <protection hidden="1"/>
    </xf>
    <xf numFmtId="0" fontId="2" fillId="0" borderId="1" xfId="0" applyFont="1" applyBorder="1" applyAlignment="1" applyProtection="1">
      <alignment horizontal="justify" vertical="center" wrapText="1"/>
      <protection hidden="1"/>
    </xf>
    <xf numFmtId="1" fontId="33" fillId="0" borderId="1" xfId="0" applyNumberFormat="1" applyFont="1" applyBorder="1" applyAlignment="1" applyProtection="1">
      <alignment horizontal="center" vertical="center" wrapText="1"/>
      <protection hidden="1"/>
    </xf>
    <xf numFmtId="1" fontId="33" fillId="0" borderId="8" xfId="0" applyNumberFormat="1" applyFont="1" applyBorder="1" applyAlignment="1" applyProtection="1">
      <alignment horizontal="center" vertical="center" wrapText="1"/>
      <protection hidden="1"/>
    </xf>
    <xf numFmtId="0" fontId="33" fillId="0" borderId="38" xfId="0" applyFont="1" applyBorder="1" applyAlignment="1" applyProtection="1">
      <alignment horizontal="center" vertical="center"/>
      <protection locked="0"/>
    </xf>
    <xf numFmtId="0" fontId="33" fillId="0" borderId="2" xfId="0" applyFont="1" applyBorder="1" applyAlignment="1" applyProtection="1">
      <alignment horizontal="center" vertical="center"/>
      <protection locked="0"/>
    </xf>
    <xf numFmtId="0" fontId="33" fillId="0" borderId="58" xfId="0" applyFont="1" applyBorder="1" applyAlignment="1" applyProtection="1">
      <alignment horizontal="center" vertical="center"/>
      <protection locked="0"/>
    </xf>
    <xf numFmtId="0" fontId="33" fillId="0" borderId="56" xfId="0" applyFont="1" applyBorder="1" applyAlignment="1" applyProtection="1">
      <alignment horizontal="center" vertical="center"/>
      <protection locked="0"/>
    </xf>
    <xf numFmtId="0" fontId="33" fillId="0" borderId="36" xfId="0" applyFont="1" applyBorder="1" applyAlignment="1" applyProtection="1">
      <alignment horizontal="center" vertical="center"/>
      <protection locked="0"/>
    </xf>
    <xf numFmtId="0" fontId="33" fillId="0" borderId="60" xfId="0" applyFont="1" applyBorder="1" applyAlignment="1" applyProtection="1">
      <alignment horizontal="center" vertical="center"/>
      <protection locked="0"/>
    </xf>
    <xf numFmtId="0" fontId="8" fillId="0" borderId="55" xfId="0" applyFont="1" applyBorder="1" applyProtection="1">
      <protection locked="0"/>
    </xf>
    <xf numFmtId="0" fontId="33" fillId="11" borderId="16" xfId="0" applyFont="1" applyFill="1" applyBorder="1" applyAlignment="1" applyProtection="1">
      <alignment horizontal="center" vertical="center" wrapText="1"/>
      <protection hidden="1"/>
    </xf>
    <xf numFmtId="0" fontId="33" fillId="12" borderId="17" xfId="0" applyFont="1" applyFill="1" applyBorder="1" applyAlignment="1" applyProtection="1">
      <alignment horizontal="center" vertical="center" wrapText="1"/>
      <protection hidden="1"/>
    </xf>
    <xf numFmtId="0" fontId="33" fillId="12" borderId="18" xfId="0" applyFont="1" applyFill="1" applyBorder="1" applyAlignment="1" applyProtection="1">
      <alignment horizontal="center" vertical="center" wrapText="1"/>
      <protection hidden="1"/>
    </xf>
    <xf numFmtId="164" fontId="33" fillId="12" borderId="4" xfId="0" applyNumberFormat="1" applyFont="1" applyFill="1" applyBorder="1" applyAlignment="1" applyProtection="1">
      <alignment horizontal="center" vertical="center" wrapText="1"/>
      <protection hidden="1"/>
    </xf>
    <xf numFmtId="0" fontId="26" fillId="0" borderId="6" xfId="0" applyFont="1" applyBorder="1" applyAlignment="1" applyProtection="1">
      <alignment horizontal="center" vertical="center" wrapText="1"/>
      <protection hidden="1"/>
    </xf>
    <xf numFmtId="9" fontId="26" fillId="0" borderId="13" xfId="2" applyFont="1" applyBorder="1" applyAlignment="1" applyProtection="1">
      <alignment horizontal="center" vertical="center" wrapText="1"/>
      <protection hidden="1"/>
    </xf>
    <xf numFmtId="0" fontId="26" fillId="0" borderId="9" xfId="0" applyFont="1" applyBorder="1" applyAlignment="1" applyProtection="1">
      <alignment horizontal="center" vertical="center" wrapText="1"/>
      <protection hidden="1"/>
    </xf>
    <xf numFmtId="9" fontId="26" fillId="0" borderId="15" xfId="2" applyFont="1" applyBorder="1" applyAlignment="1" applyProtection="1">
      <alignment horizontal="center" vertical="center" wrapText="1"/>
      <protection hidden="1"/>
    </xf>
    <xf numFmtId="0" fontId="26" fillId="0" borderId="12" xfId="0" applyFont="1" applyBorder="1" applyAlignment="1" applyProtection="1">
      <alignment horizontal="center" vertical="center" wrapText="1"/>
      <protection hidden="1"/>
    </xf>
    <xf numFmtId="1" fontId="9" fillId="0" borderId="11" xfId="0" applyNumberFormat="1" applyFont="1" applyBorder="1" applyAlignment="1" applyProtection="1">
      <alignment horizontal="center" vertical="center" wrapText="1"/>
      <protection hidden="1"/>
    </xf>
    <xf numFmtId="0" fontId="34" fillId="9" borderId="10" xfId="0" applyFont="1" applyFill="1" applyBorder="1" applyAlignment="1" applyProtection="1">
      <alignment horizontal="center" vertical="center"/>
      <protection hidden="1"/>
    </xf>
    <xf numFmtId="2" fontId="33" fillId="0" borderId="12" xfId="0" applyNumberFormat="1" applyFont="1" applyBorder="1" applyAlignment="1" applyProtection="1">
      <alignment horizontal="center" vertical="center" wrapText="1"/>
      <protection hidden="1"/>
    </xf>
    <xf numFmtId="9" fontId="26" fillId="0" borderId="10" xfId="2" applyFont="1" applyBorder="1" applyAlignment="1" applyProtection="1">
      <alignment horizontal="center" vertical="center" wrapText="1"/>
      <protection hidden="1"/>
    </xf>
    <xf numFmtId="0" fontId="26" fillId="2" borderId="12" xfId="0" applyFont="1" applyFill="1" applyBorder="1" applyAlignment="1" applyProtection="1">
      <alignment horizontal="center" vertical="center" wrapText="1"/>
      <protection hidden="1"/>
    </xf>
    <xf numFmtId="1" fontId="34" fillId="9" borderId="11" xfId="0" applyNumberFormat="1" applyFont="1" applyFill="1" applyBorder="1" applyAlignment="1" applyProtection="1">
      <alignment horizontal="center" vertical="center"/>
      <protection hidden="1"/>
    </xf>
    <xf numFmtId="0" fontId="26" fillId="0" borderId="41" xfId="0" applyFont="1" applyBorder="1" applyAlignment="1" applyProtection="1">
      <alignment horizontal="justify" vertical="center" wrapText="1"/>
      <protection hidden="1"/>
    </xf>
    <xf numFmtId="0" fontId="26" fillId="0" borderId="42" xfId="0" applyFont="1" applyBorder="1" applyAlignment="1" applyProtection="1">
      <alignment horizontal="center" vertical="center" wrapText="1"/>
      <protection hidden="1"/>
    </xf>
    <xf numFmtId="9" fontId="26" fillId="0" borderId="40" xfId="2" applyFont="1" applyBorder="1" applyAlignment="1" applyProtection="1">
      <alignment horizontal="center" vertical="center" wrapText="1"/>
      <protection hidden="1"/>
    </xf>
    <xf numFmtId="0" fontId="26" fillId="0" borderId="34" xfId="0" applyFont="1" applyBorder="1" applyAlignment="1" applyProtection="1">
      <alignment horizontal="justify" vertical="center" wrapText="1"/>
      <protection hidden="1"/>
    </xf>
    <xf numFmtId="0" fontId="26" fillId="0" borderId="37" xfId="0" applyFont="1" applyBorder="1" applyAlignment="1" applyProtection="1">
      <alignment horizontal="center" vertical="center" wrapText="1"/>
      <protection hidden="1"/>
    </xf>
    <xf numFmtId="9" fontId="26" fillId="0" borderId="33" xfId="2" applyFont="1" applyBorder="1" applyAlignment="1" applyProtection="1">
      <alignment horizontal="center" vertical="center" wrapText="1"/>
      <protection hidden="1"/>
    </xf>
    <xf numFmtId="0" fontId="26" fillId="9" borderId="34" xfId="0" applyFont="1" applyFill="1" applyBorder="1" applyAlignment="1" applyProtection="1">
      <alignment horizontal="justify" vertical="center" wrapText="1"/>
      <protection hidden="1"/>
    </xf>
    <xf numFmtId="0" fontId="26" fillId="0" borderId="7" xfId="0" applyFont="1" applyBorder="1" applyAlignment="1" applyProtection="1">
      <alignment horizontal="center" vertical="center" wrapText="1"/>
      <protection hidden="1"/>
    </xf>
    <xf numFmtId="9" fontId="26" fillId="0" borderId="14" xfId="2" applyFont="1" applyBorder="1" applyAlignment="1" applyProtection="1">
      <alignment horizontal="center" vertical="center" wrapText="1"/>
      <protection hidden="1"/>
    </xf>
    <xf numFmtId="0" fontId="26" fillId="2" borderId="41" xfId="0" applyFont="1" applyFill="1" applyBorder="1" applyAlignment="1" applyProtection="1">
      <alignment horizontal="justify" vertical="center" wrapText="1"/>
      <protection hidden="1"/>
    </xf>
    <xf numFmtId="1" fontId="26" fillId="0" borderId="41" xfId="0" applyNumberFormat="1" applyFont="1" applyBorder="1" applyAlignment="1" applyProtection="1">
      <alignment horizontal="center" vertical="center"/>
      <protection hidden="1"/>
    </xf>
    <xf numFmtId="1" fontId="26" fillId="0" borderId="1" xfId="0" applyNumberFormat="1" applyFont="1" applyBorder="1" applyAlignment="1" applyProtection="1">
      <alignment horizontal="center" vertical="center"/>
      <protection hidden="1"/>
    </xf>
    <xf numFmtId="0" fontId="26" fillId="2" borderId="34" xfId="0" applyFont="1" applyFill="1" applyBorder="1" applyAlignment="1" applyProtection="1">
      <alignment horizontal="justify" vertical="center" wrapText="1"/>
      <protection hidden="1"/>
    </xf>
    <xf numFmtId="1" fontId="26" fillId="0" borderId="34" xfId="0" applyNumberFormat="1" applyFont="1" applyBorder="1" applyAlignment="1" applyProtection="1">
      <alignment horizontal="center" vertical="center"/>
      <protection hidden="1"/>
    </xf>
    <xf numFmtId="0" fontId="26" fillId="0" borderId="50" xfId="0" applyFont="1" applyBorder="1" applyAlignment="1" applyProtection="1">
      <alignment horizontal="justify" vertical="center" wrapText="1"/>
      <protection hidden="1"/>
    </xf>
    <xf numFmtId="0" fontId="26" fillId="0" borderId="51" xfId="0" applyFont="1" applyBorder="1" applyAlignment="1" applyProtection="1">
      <alignment horizontal="justify" vertical="center" wrapText="1"/>
      <protection hidden="1"/>
    </xf>
    <xf numFmtId="0" fontId="26" fillId="0" borderId="23" xfId="0" applyFont="1" applyBorder="1" applyAlignment="1" applyProtection="1">
      <alignment horizontal="justify" vertical="center" wrapText="1"/>
      <protection hidden="1"/>
    </xf>
    <xf numFmtId="0" fontId="33" fillId="0" borderId="57" xfId="0" applyFont="1" applyBorder="1" applyAlignment="1" applyProtection="1">
      <alignment horizontal="center" vertical="center"/>
      <protection locked="0"/>
    </xf>
    <xf numFmtId="0" fontId="26" fillId="0" borderId="0" xfId="0" applyFont="1" applyAlignment="1" applyProtection="1">
      <alignment horizontal="center"/>
      <protection hidden="1"/>
    </xf>
    <xf numFmtId="1" fontId="33" fillId="2" borderId="5" xfId="0" applyNumberFormat="1" applyFont="1" applyFill="1" applyBorder="1" applyAlignment="1" applyProtection="1">
      <alignment horizontal="center" vertical="center" wrapText="1"/>
      <protection hidden="1"/>
    </xf>
    <xf numFmtId="0" fontId="9" fillId="0" borderId="61" xfId="0" applyFont="1" applyBorder="1" applyAlignment="1" applyProtection="1">
      <alignment horizontal="justify" vertical="center" wrapText="1"/>
      <protection hidden="1"/>
    </xf>
    <xf numFmtId="1" fontId="33" fillId="2" borderId="8" xfId="0" applyNumberFormat="1" applyFont="1" applyFill="1" applyBorder="1" applyAlignment="1" applyProtection="1">
      <alignment horizontal="center" vertical="center" wrapText="1"/>
      <protection hidden="1"/>
    </xf>
    <xf numFmtId="0" fontId="9" fillId="0" borderId="62" xfId="0" applyFont="1" applyBorder="1" applyAlignment="1" applyProtection="1">
      <alignment horizontal="justify" vertical="center" wrapText="1"/>
      <protection hidden="1"/>
    </xf>
    <xf numFmtId="0" fontId="8" fillId="9" borderId="11" xfId="0" applyFont="1" applyFill="1" applyBorder="1" applyAlignment="1" applyProtection="1">
      <alignment horizontal="justify" vertical="center" wrapText="1"/>
      <protection hidden="1"/>
    </xf>
    <xf numFmtId="0" fontId="9" fillId="0" borderId="31" xfId="0" applyFont="1" applyBorder="1" applyAlignment="1" applyProtection="1">
      <alignment horizontal="justify" vertical="center" wrapText="1"/>
      <protection hidden="1"/>
    </xf>
    <xf numFmtId="0" fontId="26" fillId="2" borderId="9" xfId="0" applyFont="1" applyFill="1" applyBorder="1" applyAlignment="1" applyProtection="1">
      <alignment horizontal="center" vertical="center" wrapText="1"/>
      <protection hidden="1"/>
    </xf>
    <xf numFmtId="0" fontId="26" fillId="0" borderId="56" xfId="0" applyFont="1" applyBorder="1" applyAlignment="1" applyProtection="1">
      <alignment horizontal="justify" vertical="center" wrapText="1"/>
      <protection hidden="1"/>
    </xf>
    <xf numFmtId="1" fontId="33" fillId="2" borderId="4" xfId="0" applyNumberFormat="1" applyFont="1" applyFill="1" applyBorder="1" applyAlignment="1" applyProtection="1">
      <alignment horizontal="center" vertical="center" wrapText="1"/>
      <protection hidden="1"/>
    </xf>
    <xf numFmtId="0" fontId="26" fillId="9" borderId="39" xfId="0" applyFont="1" applyFill="1" applyBorder="1" applyAlignment="1" applyProtection="1">
      <alignment horizontal="justify" vertical="center" wrapText="1"/>
      <protection hidden="1"/>
    </xf>
    <xf numFmtId="0" fontId="9" fillId="0" borderId="63" xfId="0" applyFont="1" applyBorder="1" applyAlignment="1" applyProtection="1">
      <alignment horizontal="justify" vertical="center" wrapText="1"/>
      <protection hidden="1"/>
    </xf>
    <xf numFmtId="1" fontId="33" fillId="2" borderId="44" xfId="0" applyNumberFormat="1" applyFont="1" applyFill="1" applyBorder="1" applyAlignment="1" applyProtection="1">
      <alignment horizontal="center" vertical="center" wrapText="1"/>
      <protection hidden="1"/>
    </xf>
    <xf numFmtId="0" fontId="26" fillId="0" borderId="43" xfId="0" applyFont="1" applyBorder="1" applyAlignment="1" applyProtection="1">
      <alignment horizontal="justify" vertical="center" wrapText="1"/>
      <protection hidden="1"/>
    </xf>
    <xf numFmtId="1" fontId="33" fillId="2" borderId="1" xfId="0" applyNumberFormat="1" applyFont="1" applyFill="1" applyBorder="1" applyAlignment="1" applyProtection="1">
      <alignment horizontal="center" vertical="center" wrapText="1"/>
      <protection hidden="1"/>
    </xf>
    <xf numFmtId="0" fontId="26" fillId="0" borderId="0" xfId="0" applyFont="1" applyAlignment="1" applyProtection="1">
      <alignment horizontal="center" vertical="center"/>
      <protection hidden="1"/>
    </xf>
    <xf numFmtId="0" fontId="9" fillId="0" borderId="0" xfId="0" applyFont="1" applyAlignment="1" applyProtection="1">
      <alignment horizontal="justify"/>
      <protection hidden="1"/>
    </xf>
    <xf numFmtId="0" fontId="26" fillId="9" borderId="5" xfId="0" applyFont="1" applyFill="1" applyBorder="1" applyAlignment="1" applyProtection="1">
      <alignment horizontal="justify" vertical="center" wrapText="1"/>
      <protection hidden="1"/>
    </xf>
    <xf numFmtId="0" fontId="26" fillId="2" borderId="6" xfId="0" applyFont="1" applyFill="1" applyBorder="1" applyAlignment="1" applyProtection="1">
      <alignment horizontal="center" vertical="center" wrapText="1"/>
      <protection hidden="1"/>
    </xf>
    <xf numFmtId="0" fontId="26" fillId="9" borderId="8" xfId="0" applyFont="1" applyFill="1" applyBorder="1" applyAlignment="1" applyProtection="1">
      <alignment horizontal="justify" vertical="center" wrapText="1"/>
      <protection hidden="1"/>
    </xf>
    <xf numFmtId="1" fontId="34" fillId="9" borderId="8" xfId="0" applyNumberFormat="1" applyFont="1" applyFill="1" applyBorder="1" applyAlignment="1" applyProtection="1">
      <alignment horizontal="center" vertical="center"/>
      <protection hidden="1"/>
    </xf>
    <xf numFmtId="0" fontId="26" fillId="0" borderId="11" xfId="0" applyFont="1" applyBorder="1" applyAlignment="1" applyProtection="1">
      <alignment horizontal="justify" vertical="center" wrapText="1"/>
      <protection hidden="1"/>
    </xf>
    <xf numFmtId="1" fontId="26" fillId="0" borderId="11" xfId="2" applyNumberFormat="1" applyFont="1" applyFill="1" applyBorder="1" applyAlignment="1" applyProtection="1">
      <alignment horizontal="center" vertical="center" wrapText="1"/>
      <protection hidden="1"/>
    </xf>
    <xf numFmtId="0" fontId="26" fillId="0" borderId="39" xfId="0" applyFont="1" applyBorder="1" applyAlignment="1" applyProtection="1">
      <alignment horizontal="justify" vertical="center" wrapText="1"/>
      <protection hidden="1"/>
    </xf>
    <xf numFmtId="10" fontId="8" fillId="0" borderId="0" xfId="0" applyNumberFormat="1" applyFont="1" applyProtection="1">
      <protection hidden="1"/>
    </xf>
    <xf numFmtId="10" fontId="9" fillId="0" borderId="0" xfId="0" applyNumberFormat="1" applyFont="1" applyAlignment="1" applyProtection="1">
      <alignment horizontal="center" vertical="center"/>
      <protection hidden="1"/>
    </xf>
    <xf numFmtId="164" fontId="9" fillId="0" borderId="0" xfId="0" applyNumberFormat="1" applyFont="1" applyAlignment="1" applyProtection="1">
      <alignment horizontal="center" vertical="center"/>
      <protection hidden="1"/>
    </xf>
    <xf numFmtId="10" fontId="9" fillId="0" borderId="0" xfId="0" applyNumberFormat="1" applyFont="1" applyProtection="1">
      <protection hidden="1"/>
    </xf>
    <xf numFmtId="0" fontId="33" fillId="11" borderId="32" xfId="0" applyFont="1" applyFill="1" applyBorder="1" applyAlignment="1" applyProtection="1">
      <alignment horizontal="center" vertical="center" wrapText="1"/>
      <protection hidden="1"/>
    </xf>
    <xf numFmtId="10" fontId="33" fillId="12" borderId="32" xfId="0" applyNumberFormat="1" applyFont="1" applyFill="1" applyBorder="1" applyAlignment="1" applyProtection="1">
      <alignment horizontal="center" vertical="center" wrapText="1"/>
      <protection hidden="1"/>
    </xf>
    <xf numFmtId="9" fontId="9" fillId="2" borderId="11" xfId="2" applyFont="1" applyFill="1" applyBorder="1" applyAlignment="1" applyProtection="1">
      <alignment horizontal="center" vertical="center" wrapText="1"/>
      <protection hidden="1"/>
    </xf>
    <xf numFmtId="0" fontId="34" fillId="9" borderId="54" xfId="0" applyFont="1" applyFill="1" applyBorder="1" applyAlignment="1" applyProtection="1">
      <alignment horizontal="center" vertical="center"/>
      <protection hidden="1"/>
    </xf>
    <xf numFmtId="10" fontId="26" fillId="0" borderId="31" xfId="2" applyNumberFormat="1" applyFont="1" applyBorder="1" applyAlignment="1" applyProtection="1">
      <alignment horizontal="center" vertical="center" wrapText="1"/>
      <protection hidden="1"/>
    </xf>
    <xf numFmtId="9" fontId="9" fillId="2" borderId="5" xfId="2" applyFont="1" applyFill="1" applyBorder="1" applyAlignment="1" applyProtection="1">
      <alignment horizontal="center" vertical="center" wrapText="1"/>
      <protection hidden="1"/>
    </xf>
    <xf numFmtId="10" fontId="26" fillId="0" borderId="61" xfId="2" applyNumberFormat="1" applyFont="1" applyBorder="1" applyAlignment="1" applyProtection="1">
      <alignment horizontal="center" vertical="center" wrapText="1"/>
      <protection hidden="1"/>
    </xf>
    <xf numFmtId="9" fontId="9" fillId="2" borderId="1" xfId="2" applyFont="1" applyFill="1" applyBorder="1" applyAlignment="1" applyProtection="1">
      <alignment horizontal="center" vertical="center" wrapText="1"/>
      <protection hidden="1"/>
    </xf>
    <xf numFmtId="10" fontId="26" fillId="0" borderId="63" xfId="2" applyNumberFormat="1" applyFont="1" applyBorder="1" applyAlignment="1" applyProtection="1">
      <alignment horizontal="center" vertical="center" wrapText="1"/>
      <protection hidden="1"/>
    </xf>
    <xf numFmtId="9" fontId="9" fillId="2" borderId="8" xfId="2" applyFont="1" applyFill="1" applyBorder="1" applyAlignment="1" applyProtection="1">
      <alignment horizontal="center" vertical="center" wrapText="1"/>
      <protection hidden="1"/>
    </xf>
    <xf numFmtId="10" fontId="26" fillId="0" borderId="62" xfId="2" applyNumberFormat="1" applyFont="1" applyBorder="1" applyAlignment="1" applyProtection="1">
      <alignment horizontal="center" vertical="center" wrapText="1"/>
      <protection hidden="1"/>
    </xf>
    <xf numFmtId="1" fontId="26" fillId="0" borderId="5" xfId="2" applyNumberFormat="1" applyFont="1" applyBorder="1" applyAlignment="1" applyProtection="1">
      <alignment horizontal="center" vertical="center" wrapText="1"/>
      <protection hidden="1"/>
    </xf>
    <xf numFmtId="0" fontId="33" fillId="0" borderId="12" xfId="0" applyFont="1" applyBorder="1" applyAlignment="1" applyProtection="1">
      <alignment horizontal="center" vertical="center"/>
      <protection locked="0"/>
    </xf>
    <xf numFmtId="0" fontId="33" fillId="0" borderId="7"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0" fontId="1" fillId="0" borderId="0" xfId="0" applyFont="1" applyAlignment="1" applyProtection="1">
      <alignment horizontal="center" vertical="center"/>
      <protection hidden="1"/>
    </xf>
    <xf numFmtId="0" fontId="0" fillId="0" borderId="0" xfId="0" applyAlignment="1" applyProtection="1">
      <alignment horizontal="right"/>
      <protection hidden="1"/>
    </xf>
    <xf numFmtId="0" fontId="0" fillId="0" borderId="0" xfId="0" applyProtection="1">
      <protection hidden="1"/>
    </xf>
    <xf numFmtId="0" fontId="0" fillId="0" borderId="0" xfId="0" applyAlignment="1" applyProtection="1">
      <alignment vertical="center"/>
      <protection hidden="1"/>
    </xf>
    <xf numFmtId="0" fontId="0" fillId="0" borderId="0" xfId="0" applyAlignment="1" applyProtection="1">
      <alignment horizontal="center" vertical="center"/>
      <protection hidden="1"/>
    </xf>
    <xf numFmtId="0" fontId="1" fillId="19" borderId="28" xfId="0" applyFont="1" applyFill="1" applyBorder="1" applyAlignment="1" applyProtection="1">
      <alignment horizontal="center" vertical="center"/>
      <protection hidden="1"/>
    </xf>
    <xf numFmtId="0" fontId="1" fillId="19" borderId="28" xfId="0" applyFont="1" applyFill="1" applyBorder="1" applyAlignment="1" applyProtection="1">
      <alignment horizontal="center" vertical="center" wrapText="1"/>
      <protection hidden="1"/>
    </xf>
    <xf numFmtId="0" fontId="0" fillId="0" borderId="28" xfId="0" applyBorder="1" applyAlignment="1" applyProtection="1">
      <alignment horizontal="justify" vertical="center"/>
      <protection hidden="1"/>
    </xf>
    <xf numFmtId="4" fontId="0" fillId="0" borderId="0" xfId="0" applyNumberFormat="1" applyAlignment="1" applyProtection="1">
      <alignment horizontal="right"/>
      <protection hidden="1"/>
    </xf>
    <xf numFmtId="0" fontId="0" fillId="0" borderId="29" xfId="0" applyBorder="1" applyAlignment="1" applyProtection="1">
      <alignment horizontal="justify" vertical="center"/>
      <protection hidden="1"/>
    </xf>
    <xf numFmtId="0" fontId="0" fillId="0" borderId="29" xfId="0" applyBorder="1" applyAlignment="1" applyProtection="1">
      <alignment horizontal="justify" vertical="center" wrapText="1"/>
      <protection hidden="1"/>
    </xf>
    <xf numFmtId="0" fontId="0" fillId="0" borderId="30" xfId="0" applyBorder="1" applyAlignment="1" applyProtection="1">
      <alignment horizontal="justify" vertical="center"/>
      <protection hidden="1"/>
    </xf>
    <xf numFmtId="4" fontId="0" fillId="0" borderId="0" xfId="2" applyNumberFormat="1" applyFont="1" applyProtection="1">
      <protection hidden="1"/>
    </xf>
    <xf numFmtId="10" fontId="0" fillId="0" borderId="0" xfId="2" applyNumberFormat="1" applyFont="1" applyProtection="1">
      <protection hidden="1"/>
    </xf>
    <xf numFmtId="0" fontId="1" fillId="0" borderId="31" xfId="0" applyFont="1" applyBorder="1" applyAlignment="1" applyProtection="1">
      <alignment horizontal="center" vertical="center"/>
      <protection hidden="1"/>
    </xf>
    <xf numFmtId="0" fontId="1" fillId="10" borderId="25" xfId="0" applyFont="1" applyFill="1" applyBorder="1" applyAlignment="1" applyProtection="1">
      <alignment vertical="center"/>
      <protection hidden="1"/>
    </xf>
    <xf numFmtId="0" fontId="0" fillId="0" borderId="28" xfId="0" applyBorder="1" applyAlignment="1" applyProtection="1">
      <alignment vertical="center" wrapText="1"/>
      <protection hidden="1"/>
    </xf>
    <xf numFmtId="0" fontId="0" fillId="0" borderId="29" xfId="0" applyBorder="1" applyAlignment="1" applyProtection="1">
      <alignment vertical="center" wrapText="1"/>
      <protection hidden="1"/>
    </xf>
    <xf numFmtId="0" fontId="0" fillId="0" borderId="30" xfId="0" applyBorder="1" applyAlignment="1" applyProtection="1">
      <alignment vertical="center" wrapText="1"/>
      <protection hidden="1"/>
    </xf>
    <xf numFmtId="0" fontId="0" fillId="0" borderId="29" xfId="0" applyBorder="1" applyAlignment="1" applyProtection="1">
      <alignment vertical="center"/>
      <protection hidden="1"/>
    </xf>
    <xf numFmtId="0" fontId="1" fillId="0" borderId="27" xfId="0" applyFont="1" applyBorder="1" applyAlignment="1" applyProtection="1">
      <alignment horizontal="center" vertical="center"/>
      <protection hidden="1"/>
    </xf>
    <xf numFmtId="0" fontId="0" fillId="0" borderId="30" xfId="0" applyBorder="1" applyAlignment="1" applyProtection="1">
      <alignment horizontal="justify" vertical="center" wrapText="1"/>
      <protection hidden="1"/>
    </xf>
    <xf numFmtId="0" fontId="1" fillId="10" borderId="26" xfId="0" applyFont="1" applyFill="1" applyBorder="1" applyAlignment="1" applyProtection="1">
      <alignment vertical="center"/>
      <protection hidden="1"/>
    </xf>
    <xf numFmtId="0" fontId="0" fillId="0" borderId="20" xfId="0" applyBorder="1" applyAlignment="1" applyProtection="1">
      <alignment horizontal="justify" vertical="center" wrapText="1"/>
      <protection hidden="1"/>
    </xf>
    <xf numFmtId="0" fontId="1" fillId="0" borderId="19" xfId="0" applyFont="1" applyBorder="1" applyAlignment="1" applyProtection="1">
      <alignment horizontal="center" vertical="center"/>
      <protection hidden="1"/>
    </xf>
    <xf numFmtId="0" fontId="40" fillId="2" borderId="0" xfId="0" applyFont="1" applyFill="1" applyProtection="1">
      <protection hidden="1"/>
    </xf>
    <xf numFmtId="0" fontId="40" fillId="2" borderId="0" xfId="0" applyFont="1" applyFill="1" applyAlignment="1" applyProtection="1">
      <alignment horizontal="center"/>
      <protection hidden="1"/>
    </xf>
    <xf numFmtId="0" fontId="41" fillId="2" borderId="0" xfId="0" applyFont="1" applyFill="1" applyAlignment="1" applyProtection="1">
      <alignment horizontal="center"/>
      <protection hidden="1"/>
    </xf>
    <xf numFmtId="0" fontId="40" fillId="2" borderId="0" xfId="0" applyFont="1" applyFill="1" applyAlignment="1" applyProtection="1">
      <alignment horizontal="center" vertical="center"/>
      <protection hidden="1"/>
    </xf>
    <xf numFmtId="0" fontId="41" fillId="2" borderId="0" xfId="0" applyFont="1" applyFill="1" applyAlignment="1" applyProtection="1">
      <alignment horizontal="center" vertical="center"/>
      <protection hidden="1"/>
    </xf>
    <xf numFmtId="0" fontId="33" fillId="0" borderId="41" xfId="0" applyFont="1" applyBorder="1" applyAlignment="1" applyProtection="1">
      <alignment horizontal="center" vertical="center"/>
      <protection locked="0"/>
    </xf>
    <xf numFmtId="0" fontId="12" fillId="0" borderId="0" xfId="0" applyFont="1" applyAlignment="1" applyProtection="1">
      <alignment horizontal="left" vertical="center" wrapText="1"/>
      <protection hidden="1"/>
    </xf>
    <xf numFmtId="0" fontId="14" fillId="0" borderId="0" xfId="0" applyFont="1" applyAlignment="1" applyProtection="1">
      <alignment horizontal="justify" vertical="center" wrapText="1"/>
      <protection hidden="1"/>
    </xf>
    <xf numFmtId="0" fontId="12" fillId="0" borderId="0" xfId="0" applyFont="1" applyAlignment="1" applyProtection="1">
      <alignment horizontal="justify" vertical="center" wrapText="1"/>
      <protection hidden="1"/>
    </xf>
    <xf numFmtId="0" fontId="12" fillId="0" borderId="0" xfId="0" applyFont="1" applyAlignment="1" applyProtection="1">
      <alignment horizontal="justify" wrapText="1"/>
      <protection hidden="1"/>
    </xf>
    <xf numFmtId="0" fontId="19" fillId="0" borderId="0" xfId="0" applyFont="1" applyAlignment="1" applyProtection="1">
      <alignment horizontal="justify" wrapText="1"/>
      <protection hidden="1"/>
    </xf>
    <xf numFmtId="0" fontId="15" fillId="0" borderId="0" xfId="0" applyFont="1" applyAlignment="1" applyProtection="1">
      <alignment horizontal="justify" vertical="center" wrapText="1"/>
      <protection hidden="1"/>
    </xf>
    <xf numFmtId="0" fontId="14" fillId="0" borderId="0" xfId="0" applyFont="1" applyAlignment="1" applyProtection="1">
      <alignment horizontal="justify" vertical="center"/>
      <protection hidden="1"/>
    </xf>
    <xf numFmtId="2" fontId="26" fillId="0" borderId="5" xfId="2" applyNumberFormat="1" applyFont="1" applyBorder="1" applyAlignment="1" applyProtection="1">
      <alignment horizontal="center" vertical="center"/>
      <protection hidden="1"/>
    </xf>
    <xf numFmtId="2" fontId="26" fillId="0" borderId="8" xfId="2" applyNumberFormat="1" applyFont="1" applyBorder="1" applyAlignment="1" applyProtection="1">
      <alignment horizontal="center" vertical="center"/>
      <protection hidden="1"/>
    </xf>
    <xf numFmtId="2" fontId="26" fillId="0" borderId="1" xfId="2" applyNumberFormat="1" applyFont="1" applyBorder="1" applyAlignment="1" applyProtection="1">
      <alignment horizontal="center" vertical="center"/>
      <protection hidden="1"/>
    </xf>
    <xf numFmtId="0" fontId="26" fillId="0" borderId="0" xfId="0" applyFont="1" applyAlignment="1" applyProtection="1">
      <alignment horizontal="left"/>
      <protection hidden="1"/>
    </xf>
    <xf numFmtId="0" fontId="26" fillId="2" borderId="0" xfId="0" applyFont="1" applyFill="1" applyAlignment="1" applyProtection="1">
      <alignment horizontal="left" vertical="center"/>
      <protection hidden="1"/>
    </xf>
    <xf numFmtId="0" fontId="26" fillId="6" borderId="3" xfId="0" applyFont="1" applyFill="1" applyBorder="1" applyAlignment="1" applyProtection="1">
      <alignment horizontal="center" vertical="center" wrapText="1"/>
      <protection hidden="1"/>
    </xf>
    <xf numFmtId="0" fontId="26" fillId="6" borderId="16" xfId="0" applyFont="1" applyFill="1" applyBorder="1" applyAlignment="1" applyProtection="1">
      <alignment horizontal="center" vertical="center" wrapText="1"/>
      <protection hidden="1"/>
    </xf>
    <xf numFmtId="0" fontId="26" fillId="6" borderId="4" xfId="0" applyFont="1" applyFill="1" applyBorder="1" applyAlignment="1" applyProtection="1">
      <alignment horizontal="center" vertical="center" wrapText="1"/>
      <protection hidden="1"/>
    </xf>
    <xf numFmtId="0" fontId="26" fillId="0" borderId="32" xfId="0" applyFont="1" applyBorder="1" applyAlignment="1" applyProtection="1">
      <alignment horizontal="center" vertical="center"/>
      <protection hidden="1"/>
    </xf>
    <xf numFmtId="0" fontId="26" fillId="0" borderId="66" xfId="0" applyFont="1" applyBorder="1" applyAlignment="1" applyProtection="1">
      <alignment horizontal="center" vertical="center"/>
      <protection hidden="1"/>
    </xf>
    <xf numFmtId="0" fontId="26" fillId="0" borderId="59" xfId="0" applyFont="1" applyBorder="1" applyAlignment="1" applyProtection="1">
      <alignment horizontal="center" vertical="center"/>
      <protection hidden="1"/>
    </xf>
    <xf numFmtId="0" fontId="33" fillId="12" borderId="35" xfId="0" applyFont="1" applyFill="1" applyBorder="1" applyAlignment="1" applyProtection="1">
      <alignment horizontal="center" vertical="center" wrapText="1"/>
      <protection hidden="1"/>
    </xf>
    <xf numFmtId="0" fontId="33" fillId="12" borderId="32" xfId="0" applyFont="1" applyFill="1" applyBorder="1" applyAlignment="1" applyProtection="1">
      <alignment horizontal="center" vertical="center" wrapText="1"/>
      <protection hidden="1"/>
    </xf>
    <xf numFmtId="0" fontId="8" fillId="2" borderId="1" xfId="0" applyFont="1" applyFill="1" applyBorder="1" applyAlignment="1" applyProtection="1">
      <alignment horizontal="left" vertical="center"/>
      <protection hidden="1"/>
    </xf>
    <xf numFmtId="0" fontId="8" fillId="2" borderId="1" xfId="0" applyFont="1" applyFill="1" applyBorder="1" applyAlignment="1" applyProtection="1">
      <alignment horizontal="left" vertical="center" wrapText="1"/>
      <protection hidden="1"/>
    </xf>
    <xf numFmtId="0" fontId="26" fillId="0" borderId="13" xfId="0" applyFont="1" applyBorder="1" applyAlignment="1" applyProtection="1">
      <alignment horizontal="center" vertical="center" wrapText="1"/>
      <protection hidden="1"/>
    </xf>
    <xf numFmtId="0" fontId="26" fillId="0" borderId="14" xfId="0" applyFont="1" applyBorder="1" applyAlignment="1" applyProtection="1">
      <alignment horizontal="center" vertical="center" wrapText="1"/>
      <protection hidden="1"/>
    </xf>
    <xf numFmtId="0" fontId="26" fillId="0" borderId="15" xfId="0" applyFont="1" applyBorder="1" applyAlignment="1" applyProtection="1">
      <alignment horizontal="center" vertical="center" wrapText="1"/>
      <protection hidden="1"/>
    </xf>
    <xf numFmtId="0" fontId="26" fillId="0" borderId="5" xfId="0" applyFont="1" applyBorder="1" applyAlignment="1" applyProtection="1">
      <alignment horizontal="center" vertical="center" wrapText="1"/>
      <protection hidden="1"/>
    </xf>
    <xf numFmtId="0" fontId="26" fillId="0" borderId="1" xfId="0" applyFont="1" applyBorder="1" applyAlignment="1" applyProtection="1">
      <alignment horizontal="center" vertical="center" wrapText="1"/>
      <protection hidden="1"/>
    </xf>
    <xf numFmtId="0" fontId="26" fillId="0" borderId="8" xfId="0" applyFont="1" applyBorder="1" applyAlignment="1" applyProtection="1">
      <alignment horizontal="center" vertical="center" wrapText="1"/>
      <protection hidden="1"/>
    </xf>
    <xf numFmtId="2" fontId="33" fillId="0" borderId="56" xfId="0" applyNumberFormat="1" applyFont="1" applyBorder="1" applyAlignment="1" applyProtection="1">
      <alignment horizontal="center" vertical="center" wrapText="1"/>
      <protection hidden="1"/>
    </xf>
    <xf numFmtId="2" fontId="33" fillId="0" borderId="2" xfId="0" applyNumberFormat="1" applyFont="1" applyBorder="1" applyAlignment="1" applyProtection="1">
      <alignment horizontal="center" vertical="center" wrapText="1"/>
      <protection hidden="1"/>
    </xf>
    <xf numFmtId="2" fontId="33" fillId="0" borderId="58" xfId="0" applyNumberFormat="1" applyFont="1" applyBorder="1" applyAlignment="1" applyProtection="1">
      <alignment horizontal="center" vertical="center" wrapText="1"/>
      <protection hidden="1"/>
    </xf>
    <xf numFmtId="0" fontId="26" fillId="6" borderId="17" xfId="0" applyFont="1" applyFill="1" applyBorder="1" applyAlignment="1" applyProtection="1">
      <alignment horizontal="center" vertical="center" textRotation="90"/>
      <protection hidden="1"/>
    </xf>
    <xf numFmtId="0" fontId="26" fillId="6" borderId="20" xfId="0" applyFont="1" applyFill="1" applyBorder="1" applyAlignment="1" applyProtection="1">
      <alignment horizontal="center" vertical="center" textRotation="90"/>
      <protection hidden="1"/>
    </xf>
    <xf numFmtId="0" fontId="26" fillId="6" borderId="22" xfId="0" applyFont="1" applyFill="1" applyBorder="1" applyAlignment="1" applyProtection="1">
      <alignment horizontal="center" vertical="center" textRotation="90"/>
      <protection hidden="1"/>
    </xf>
    <xf numFmtId="2" fontId="33" fillId="0" borderId="36" xfId="0" applyNumberFormat="1" applyFont="1" applyBorder="1" applyAlignment="1" applyProtection="1">
      <alignment horizontal="center" vertical="center" wrapText="1"/>
      <protection hidden="1"/>
    </xf>
    <xf numFmtId="0" fontId="34" fillId="9" borderId="32" xfId="0" applyFont="1" applyFill="1" applyBorder="1" applyAlignment="1" applyProtection="1">
      <alignment horizontal="center" vertical="center"/>
      <protection hidden="1"/>
    </xf>
    <xf numFmtId="0" fontId="34" fillId="9" borderId="66" xfId="0" applyFont="1" applyFill="1" applyBorder="1" applyAlignment="1" applyProtection="1">
      <alignment horizontal="center" vertical="center"/>
      <protection hidden="1"/>
    </xf>
    <xf numFmtId="0" fontId="34" fillId="9" borderId="59" xfId="0" applyFont="1" applyFill="1" applyBorder="1" applyAlignment="1" applyProtection="1">
      <alignment horizontal="center" vertical="center"/>
      <protection hidden="1"/>
    </xf>
    <xf numFmtId="0" fontId="26" fillId="0" borderId="3" xfId="0" applyFont="1" applyBorder="1" applyAlignment="1" applyProtection="1">
      <alignment horizontal="center" vertical="center" wrapText="1"/>
      <protection hidden="1"/>
    </xf>
    <xf numFmtId="0" fontId="26" fillId="0" borderId="48" xfId="0" applyFont="1" applyBorder="1" applyAlignment="1" applyProtection="1">
      <alignment horizontal="center" vertical="center" wrapText="1"/>
      <protection hidden="1"/>
    </xf>
    <xf numFmtId="0" fontId="26" fillId="0" borderId="4" xfId="0" applyFont="1" applyBorder="1" applyAlignment="1" applyProtection="1">
      <alignment horizontal="center" vertical="center" wrapText="1"/>
      <protection hidden="1"/>
    </xf>
    <xf numFmtId="0" fontId="26" fillId="0" borderId="44" xfId="0" applyFont="1" applyBorder="1" applyAlignment="1" applyProtection="1">
      <alignment horizontal="center" vertical="center" wrapText="1"/>
      <protection hidden="1"/>
    </xf>
    <xf numFmtId="2" fontId="33" fillId="0" borderId="35" xfId="0" applyNumberFormat="1" applyFont="1" applyBorder="1" applyAlignment="1" applyProtection="1">
      <alignment horizontal="center" vertical="center" wrapText="1"/>
      <protection hidden="1"/>
    </xf>
    <xf numFmtId="2" fontId="33" fillId="0" borderId="60" xfId="0" applyNumberFormat="1" applyFont="1" applyBorder="1" applyAlignment="1" applyProtection="1">
      <alignment horizontal="center" vertical="center" wrapText="1"/>
      <protection hidden="1"/>
    </xf>
    <xf numFmtId="0" fontId="26" fillId="13" borderId="17" xfId="0" applyFont="1" applyFill="1" applyBorder="1" applyAlignment="1" applyProtection="1">
      <alignment horizontal="right" vertical="center"/>
      <protection hidden="1"/>
    </xf>
    <xf numFmtId="0" fontId="26" fillId="13" borderId="18" xfId="0" applyFont="1" applyFill="1" applyBorder="1" applyAlignment="1" applyProtection="1">
      <alignment horizontal="right" vertical="center"/>
      <protection hidden="1"/>
    </xf>
    <xf numFmtId="0" fontId="26" fillId="13" borderId="19" xfId="0" applyFont="1" applyFill="1" applyBorder="1" applyAlignment="1" applyProtection="1">
      <alignment horizontal="right" vertical="center"/>
      <protection hidden="1"/>
    </xf>
    <xf numFmtId="0" fontId="26" fillId="13" borderId="22" xfId="0" applyFont="1" applyFill="1" applyBorder="1" applyAlignment="1" applyProtection="1">
      <alignment horizontal="right" vertical="center"/>
      <protection hidden="1"/>
    </xf>
    <xf numFmtId="0" fontId="26" fillId="13" borderId="23" xfId="0" applyFont="1" applyFill="1" applyBorder="1" applyAlignment="1" applyProtection="1">
      <alignment horizontal="right" vertical="center"/>
      <protection hidden="1"/>
    </xf>
    <xf numFmtId="0" fontId="26" fillId="13" borderId="24" xfId="0" applyFont="1" applyFill="1" applyBorder="1" applyAlignment="1" applyProtection="1">
      <alignment horizontal="right" vertical="center"/>
      <protection hidden="1"/>
    </xf>
    <xf numFmtId="10" fontId="26" fillId="0" borderId="19" xfId="2" applyNumberFormat="1" applyFont="1" applyBorder="1" applyAlignment="1" applyProtection="1">
      <alignment horizontal="center" vertical="center"/>
      <protection hidden="1"/>
    </xf>
    <xf numFmtId="10" fontId="26" fillId="0" borderId="24" xfId="2" applyNumberFormat="1" applyFont="1" applyBorder="1" applyAlignment="1" applyProtection="1">
      <alignment horizontal="center" vertical="center"/>
      <protection hidden="1"/>
    </xf>
    <xf numFmtId="0" fontId="26" fillId="13" borderId="0" xfId="0" applyFont="1" applyFill="1" applyAlignment="1" applyProtection="1">
      <alignment horizontal="right" vertical="center"/>
      <protection hidden="1"/>
    </xf>
    <xf numFmtId="10" fontId="26" fillId="0" borderId="21" xfId="2" applyNumberFormat="1" applyFont="1" applyBorder="1" applyAlignment="1" applyProtection="1">
      <alignment horizontal="center" vertical="center"/>
      <protection hidden="1"/>
    </xf>
    <xf numFmtId="0" fontId="33" fillId="12" borderId="4" xfId="0" applyFont="1" applyFill="1" applyBorder="1" applyAlignment="1" applyProtection="1">
      <alignment horizontal="center" vertical="center" wrapText="1"/>
      <protection hidden="1"/>
    </xf>
    <xf numFmtId="0" fontId="33" fillId="12" borderId="16" xfId="0" applyFont="1" applyFill="1" applyBorder="1" applyAlignment="1" applyProtection="1">
      <alignment horizontal="center" vertical="center" wrapText="1"/>
      <protection hidden="1"/>
    </xf>
    <xf numFmtId="0" fontId="26" fillId="0" borderId="56" xfId="0" applyFont="1" applyBorder="1" applyAlignment="1" applyProtection="1">
      <alignment horizontal="center" vertical="center" wrapText="1"/>
      <protection hidden="1"/>
    </xf>
    <xf numFmtId="0" fontId="26" fillId="0" borderId="2" xfId="0" applyFont="1" applyBorder="1" applyAlignment="1" applyProtection="1">
      <alignment horizontal="center" vertical="center" wrapText="1"/>
      <protection hidden="1"/>
    </xf>
    <xf numFmtId="0" fontId="26" fillId="0" borderId="58" xfId="0" applyFont="1" applyBorder="1" applyAlignment="1" applyProtection="1">
      <alignment horizontal="center" vertical="center" wrapText="1"/>
      <protection hidden="1"/>
    </xf>
    <xf numFmtId="0" fontId="26" fillId="13" borderId="13" xfId="0" applyFont="1" applyFill="1" applyBorder="1" applyAlignment="1" applyProtection="1">
      <alignment horizontal="center" vertical="center"/>
      <protection hidden="1"/>
    </xf>
    <xf numFmtId="0" fontId="26" fillId="13" borderId="14" xfId="0" applyFont="1" applyFill="1" applyBorder="1" applyAlignment="1" applyProtection="1">
      <alignment horizontal="center" vertical="center"/>
      <protection hidden="1"/>
    </xf>
    <xf numFmtId="0" fontId="26" fillId="13" borderId="15" xfId="0" applyFont="1" applyFill="1" applyBorder="1" applyAlignment="1" applyProtection="1">
      <alignment horizontal="center" vertical="center"/>
      <protection hidden="1"/>
    </xf>
    <xf numFmtId="0" fontId="26" fillId="6" borderId="35" xfId="0" applyFont="1" applyFill="1" applyBorder="1" applyAlignment="1" applyProtection="1">
      <alignment horizontal="center" vertical="center" wrapText="1"/>
      <protection hidden="1"/>
    </xf>
    <xf numFmtId="0" fontId="26" fillId="0" borderId="40" xfId="0" applyFont="1" applyBorder="1" applyAlignment="1" applyProtection="1">
      <alignment horizontal="center" vertical="center" wrapText="1"/>
      <protection hidden="1"/>
    </xf>
    <xf numFmtId="0" fontId="26" fillId="2" borderId="38" xfId="0" applyFont="1" applyFill="1" applyBorder="1" applyAlignment="1" applyProtection="1">
      <alignment horizontal="center" vertical="center" wrapText="1"/>
      <protection hidden="1"/>
    </xf>
    <xf numFmtId="0" fontId="26" fillId="2" borderId="2" xfId="0" applyFont="1" applyFill="1" applyBorder="1" applyAlignment="1" applyProtection="1">
      <alignment horizontal="center" vertical="center" wrapText="1"/>
      <protection hidden="1"/>
    </xf>
    <xf numFmtId="0" fontId="26" fillId="2" borderId="58" xfId="0" applyFont="1" applyFill="1" applyBorder="1" applyAlignment="1" applyProtection="1">
      <alignment horizontal="center" vertical="center" wrapText="1"/>
      <protection hidden="1"/>
    </xf>
    <xf numFmtId="2" fontId="33" fillId="0" borderId="38" xfId="0" applyNumberFormat="1" applyFont="1" applyBorder="1" applyAlignment="1" applyProtection="1">
      <alignment horizontal="center" vertical="center" wrapText="1"/>
      <protection hidden="1"/>
    </xf>
    <xf numFmtId="0" fontId="26" fillId="2" borderId="13" xfId="0" applyFont="1" applyFill="1" applyBorder="1" applyAlignment="1" applyProtection="1">
      <alignment horizontal="center" vertical="center" wrapText="1"/>
      <protection hidden="1"/>
    </xf>
    <xf numFmtId="0" fontId="26" fillId="2" borderId="14" xfId="0" applyFont="1" applyFill="1" applyBorder="1" applyAlignment="1" applyProtection="1">
      <alignment horizontal="center" vertical="center" wrapText="1"/>
      <protection hidden="1"/>
    </xf>
    <xf numFmtId="0" fontId="26" fillId="2" borderId="15" xfId="0" applyFont="1" applyFill="1" applyBorder="1" applyAlignment="1" applyProtection="1">
      <alignment horizontal="center" vertical="center" wrapText="1"/>
      <protection hidden="1"/>
    </xf>
    <xf numFmtId="0" fontId="26" fillId="2" borderId="56" xfId="0" applyFont="1" applyFill="1" applyBorder="1" applyAlignment="1" applyProtection="1">
      <alignment horizontal="center" vertical="center" wrapText="1"/>
      <protection hidden="1"/>
    </xf>
    <xf numFmtId="2" fontId="26" fillId="0" borderId="41" xfId="2" applyNumberFormat="1" applyFont="1" applyBorder="1" applyAlignment="1" applyProtection="1">
      <alignment horizontal="center" vertical="center"/>
      <protection hidden="1"/>
    </xf>
    <xf numFmtId="2" fontId="26" fillId="0" borderId="34" xfId="2" applyNumberFormat="1" applyFont="1" applyBorder="1" applyAlignment="1" applyProtection="1">
      <alignment horizontal="center" vertical="center"/>
      <protection hidden="1"/>
    </xf>
    <xf numFmtId="2" fontId="33" fillId="0" borderId="5" xfId="0" applyNumberFormat="1" applyFont="1" applyBorder="1" applyAlignment="1" applyProtection="1">
      <alignment horizontal="center" vertical="center" wrapText="1"/>
      <protection hidden="1"/>
    </xf>
    <xf numFmtId="2" fontId="33" fillId="0" borderId="1" xfId="0" applyNumberFormat="1" applyFont="1" applyBorder="1" applyAlignment="1" applyProtection="1">
      <alignment horizontal="center" vertical="center" wrapText="1"/>
      <protection hidden="1"/>
    </xf>
    <xf numFmtId="2" fontId="33" fillId="0" borderId="8" xfId="0" applyNumberFormat="1" applyFont="1" applyBorder="1" applyAlignment="1" applyProtection="1">
      <alignment horizontal="center" vertical="center" wrapText="1"/>
      <protection hidden="1"/>
    </xf>
    <xf numFmtId="0" fontId="34" fillId="9" borderId="13" xfId="0" applyFont="1" applyFill="1" applyBorder="1" applyAlignment="1" applyProtection="1">
      <alignment horizontal="center" vertical="center"/>
      <protection hidden="1"/>
    </xf>
    <xf numFmtId="0" fontId="34" fillId="9" borderId="14" xfId="0" applyFont="1" applyFill="1" applyBorder="1" applyAlignment="1" applyProtection="1">
      <alignment horizontal="center" vertical="center"/>
      <protection hidden="1"/>
    </xf>
    <xf numFmtId="0" fontId="34" fillId="9" borderId="15" xfId="0" applyFont="1" applyFill="1" applyBorder="1" applyAlignment="1" applyProtection="1">
      <alignment horizontal="center" vertical="center"/>
      <protection hidden="1"/>
    </xf>
    <xf numFmtId="0" fontId="26" fillId="2" borderId="40" xfId="0" applyFont="1" applyFill="1" applyBorder="1" applyAlignment="1" applyProtection="1">
      <alignment horizontal="center" vertical="center"/>
      <protection hidden="1"/>
    </xf>
    <xf numFmtId="0" fontId="26" fillId="2" borderId="14" xfId="0" applyFont="1" applyFill="1" applyBorder="1" applyAlignment="1" applyProtection="1">
      <alignment horizontal="center" vertical="center"/>
      <protection hidden="1"/>
    </xf>
    <xf numFmtId="0" fontId="26" fillId="2" borderId="33" xfId="0" applyFont="1" applyFill="1" applyBorder="1" applyAlignment="1" applyProtection="1">
      <alignment horizontal="center" vertical="center"/>
      <protection hidden="1"/>
    </xf>
    <xf numFmtId="0" fontId="26" fillId="0" borderId="40" xfId="0" applyFont="1" applyBorder="1" applyAlignment="1" applyProtection="1">
      <alignment horizontal="center" vertical="center"/>
      <protection hidden="1"/>
    </xf>
    <xf numFmtId="0" fontId="26" fillId="0" borderId="14" xfId="0" applyFont="1" applyBorder="1" applyAlignment="1" applyProtection="1">
      <alignment horizontal="center" vertical="center"/>
      <protection hidden="1"/>
    </xf>
    <xf numFmtId="0" fontId="26" fillId="0" borderId="15" xfId="0" applyFont="1" applyBorder="1" applyAlignment="1" applyProtection="1">
      <alignment horizontal="center" vertical="center"/>
      <protection hidden="1"/>
    </xf>
    <xf numFmtId="0" fontId="26" fillId="0" borderId="13" xfId="0" applyFont="1" applyBorder="1" applyAlignment="1" applyProtection="1">
      <alignment horizontal="center" vertical="center"/>
      <protection hidden="1"/>
    </xf>
    <xf numFmtId="0" fontId="26" fillId="0" borderId="33" xfId="0" applyFont="1" applyBorder="1" applyAlignment="1" applyProtection="1">
      <alignment horizontal="center" vertical="center" wrapText="1"/>
      <protection hidden="1"/>
    </xf>
    <xf numFmtId="0" fontId="26" fillId="0" borderId="38" xfId="0" applyFont="1" applyBorder="1" applyAlignment="1" applyProtection="1">
      <alignment horizontal="center" vertical="center" wrapText="1"/>
      <protection hidden="1"/>
    </xf>
    <xf numFmtId="0" fontId="26" fillId="0" borderId="36" xfId="0" applyFont="1" applyBorder="1" applyAlignment="1" applyProtection="1">
      <alignment horizontal="center" vertical="center" wrapText="1"/>
      <protection hidden="1"/>
    </xf>
    <xf numFmtId="0" fontId="26" fillId="13" borderId="20" xfId="0" applyFont="1" applyFill="1" applyBorder="1" applyAlignment="1" applyProtection="1">
      <alignment horizontal="right" vertical="center"/>
      <protection hidden="1"/>
    </xf>
    <xf numFmtId="0" fontId="26" fillId="13" borderId="21" xfId="0" applyFont="1" applyFill="1" applyBorder="1" applyAlignment="1" applyProtection="1">
      <alignment horizontal="right" vertical="center"/>
      <protection hidden="1"/>
    </xf>
    <xf numFmtId="10" fontId="26" fillId="0" borderId="29" xfId="2" applyNumberFormat="1" applyFont="1" applyBorder="1" applyAlignment="1" applyProtection="1">
      <alignment horizontal="center" vertical="center"/>
      <protection hidden="1"/>
    </xf>
    <xf numFmtId="10" fontId="26" fillId="0" borderId="30" xfId="2" applyNumberFormat="1" applyFont="1" applyBorder="1" applyAlignment="1" applyProtection="1">
      <alignment horizontal="center" vertical="center"/>
      <protection hidden="1"/>
    </xf>
    <xf numFmtId="0" fontId="26" fillId="0" borderId="3" xfId="0" applyFont="1" applyBorder="1" applyAlignment="1" applyProtection="1">
      <alignment horizontal="center" vertical="center"/>
      <protection hidden="1"/>
    </xf>
    <xf numFmtId="0" fontId="26" fillId="0" borderId="48" xfId="0" applyFont="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0" fontId="33" fillId="12" borderId="57" xfId="0" applyFont="1" applyFill="1" applyBorder="1" applyAlignment="1" applyProtection="1">
      <alignment horizontal="center" vertical="center" wrapText="1"/>
      <protection hidden="1"/>
    </xf>
    <xf numFmtId="2" fontId="33" fillId="0" borderId="6" xfId="0" applyNumberFormat="1" applyFont="1" applyBorder="1" applyAlignment="1" applyProtection="1">
      <alignment horizontal="center" vertical="center" wrapText="1"/>
      <protection hidden="1"/>
    </xf>
    <xf numFmtId="2" fontId="33" fillId="0" borderId="7" xfId="0" applyNumberFormat="1" applyFont="1" applyBorder="1" applyAlignment="1" applyProtection="1">
      <alignment horizontal="center" vertical="center" wrapText="1"/>
      <protection hidden="1"/>
    </xf>
    <xf numFmtId="2" fontId="33" fillId="0" borderId="9" xfId="0" applyNumberFormat="1" applyFont="1" applyBorder="1" applyAlignment="1" applyProtection="1">
      <alignment horizontal="center" vertical="center" wrapText="1"/>
      <protection hidden="1"/>
    </xf>
    <xf numFmtId="2" fontId="33" fillId="0" borderId="37" xfId="0" applyNumberFormat="1" applyFont="1" applyBorder="1" applyAlignment="1" applyProtection="1">
      <alignment horizontal="center" vertical="center" wrapText="1"/>
      <protection hidden="1"/>
    </xf>
    <xf numFmtId="0" fontId="26" fillId="6" borderId="2" xfId="0" applyFont="1" applyFill="1" applyBorder="1" applyAlignment="1" applyProtection="1">
      <alignment horizontal="center" vertical="center" textRotation="90"/>
      <protection hidden="1"/>
    </xf>
    <xf numFmtId="0" fontId="26" fillId="0" borderId="34" xfId="0" applyFont="1" applyBorder="1" applyAlignment="1" applyProtection="1">
      <alignment horizontal="center" vertical="center" wrapText="1"/>
      <protection hidden="1"/>
    </xf>
    <xf numFmtId="0" fontId="26" fillId="13" borderId="3" xfId="0" applyFont="1" applyFill="1" applyBorder="1" applyAlignment="1" applyProtection="1">
      <alignment horizontal="center" vertical="center"/>
      <protection hidden="1"/>
    </xf>
    <xf numFmtId="0" fontId="26" fillId="13" borderId="49" xfId="0" applyFont="1" applyFill="1" applyBorder="1" applyAlignment="1" applyProtection="1">
      <alignment horizontal="center" vertical="center"/>
      <protection hidden="1"/>
    </xf>
    <xf numFmtId="0" fontId="26" fillId="13" borderId="48" xfId="0" applyFont="1" applyFill="1" applyBorder="1" applyAlignment="1" applyProtection="1">
      <alignment horizontal="center" vertical="center"/>
      <protection hidden="1"/>
    </xf>
    <xf numFmtId="0" fontId="34" fillId="9" borderId="33" xfId="0" applyFont="1" applyFill="1" applyBorder="1" applyAlignment="1" applyProtection="1">
      <alignment horizontal="center" vertical="center"/>
      <protection hidden="1"/>
    </xf>
    <xf numFmtId="0" fontId="26" fillId="0" borderId="49" xfId="0" applyFont="1" applyBorder="1" applyAlignment="1" applyProtection="1">
      <alignment horizontal="center" vertical="center"/>
      <protection hidden="1"/>
    </xf>
    <xf numFmtId="0" fontId="26" fillId="6" borderId="36" xfId="0" applyFont="1" applyFill="1" applyBorder="1" applyAlignment="1" applyProtection="1">
      <alignment horizontal="center" vertical="center" textRotation="90"/>
      <protection hidden="1"/>
    </xf>
    <xf numFmtId="0" fontId="26" fillId="6" borderId="39" xfId="0" applyFont="1" applyFill="1" applyBorder="1" applyAlignment="1" applyProtection="1">
      <alignment horizontal="center" vertical="center" textRotation="90"/>
      <protection hidden="1"/>
    </xf>
    <xf numFmtId="0" fontId="26" fillId="6" borderId="38" xfId="0" applyFont="1" applyFill="1" applyBorder="1" applyAlignment="1" applyProtection="1">
      <alignment horizontal="center" vertical="center" textRotation="90"/>
      <protection hidden="1"/>
    </xf>
    <xf numFmtId="0" fontId="26" fillId="0" borderId="41" xfId="0" applyFont="1" applyBorder="1" applyAlignment="1" applyProtection="1">
      <alignment horizontal="center" vertical="center" wrapText="1"/>
      <protection hidden="1"/>
    </xf>
    <xf numFmtId="2" fontId="33" fillId="0" borderId="42" xfId="0" applyNumberFormat="1" applyFont="1" applyBorder="1" applyAlignment="1" applyProtection="1">
      <alignment horizontal="center" vertical="center" wrapText="1"/>
      <protection hidden="1"/>
    </xf>
    <xf numFmtId="0" fontId="26" fillId="2" borderId="13" xfId="0" applyFont="1" applyFill="1" applyBorder="1" applyAlignment="1" applyProtection="1">
      <alignment horizontal="center" vertical="center"/>
      <protection hidden="1"/>
    </xf>
    <xf numFmtId="0" fontId="26" fillId="2" borderId="15" xfId="0" applyFont="1" applyFill="1" applyBorder="1" applyAlignment="1" applyProtection="1">
      <alignment horizontal="center" vertical="center"/>
      <protection hidden="1"/>
    </xf>
    <xf numFmtId="0" fontId="33" fillId="12" borderId="18" xfId="0" applyFont="1" applyFill="1" applyBorder="1" applyAlignment="1" applyProtection="1">
      <alignment horizontal="center" vertical="center" wrapText="1"/>
      <protection hidden="1"/>
    </xf>
    <xf numFmtId="0" fontId="26" fillId="0" borderId="33" xfId="0" applyFont="1" applyBorder="1" applyAlignment="1" applyProtection="1">
      <alignment horizontal="center" vertical="center"/>
      <protection hidden="1"/>
    </xf>
    <xf numFmtId="0" fontId="26" fillId="0" borderId="43" xfId="0" applyFont="1" applyBorder="1" applyAlignment="1" applyProtection="1">
      <alignment horizontal="center" vertical="center" wrapText="1"/>
      <protection hidden="1"/>
    </xf>
    <xf numFmtId="0" fontId="26" fillId="6" borderId="28" xfId="0" applyFont="1" applyFill="1" applyBorder="1" applyAlignment="1" applyProtection="1">
      <alignment horizontal="center" vertical="center" textRotation="90"/>
      <protection hidden="1"/>
    </xf>
    <xf numFmtId="0" fontId="26" fillId="6" borderId="29" xfId="0" applyFont="1" applyFill="1" applyBorder="1" applyAlignment="1" applyProtection="1">
      <alignment horizontal="center" vertical="center" textRotation="90"/>
      <protection hidden="1"/>
    </xf>
    <xf numFmtId="0" fontId="26" fillId="6" borderId="30" xfId="0" applyFont="1" applyFill="1" applyBorder="1" applyAlignment="1" applyProtection="1">
      <alignment horizontal="center" vertical="center" textRotation="90"/>
      <protection hidden="1"/>
    </xf>
    <xf numFmtId="0" fontId="34" fillId="21" borderId="13" xfId="0" applyFont="1" applyFill="1" applyBorder="1" applyAlignment="1" applyProtection="1">
      <alignment horizontal="center" vertical="center"/>
      <protection hidden="1"/>
    </xf>
    <xf numFmtId="0" fontId="34" fillId="21" borderId="14" xfId="0" applyFont="1" applyFill="1" applyBorder="1" applyAlignment="1" applyProtection="1">
      <alignment horizontal="center" vertical="center"/>
      <protection hidden="1"/>
    </xf>
    <xf numFmtId="0" fontId="34" fillId="21" borderId="15" xfId="0" applyFont="1" applyFill="1" applyBorder="1" applyAlignment="1" applyProtection="1">
      <alignment horizontal="center" vertical="center"/>
      <protection hidden="1"/>
    </xf>
    <xf numFmtId="0" fontId="26" fillId="6" borderId="45" xfId="0" applyFont="1" applyFill="1" applyBorder="1" applyAlignment="1" applyProtection="1">
      <alignment horizontal="center" vertical="center" textRotation="90"/>
      <protection hidden="1"/>
    </xf>
    <xf numFmtId="0" fontId="26" fillId="6" borderId="46" xfId="0" applyFont="1" applyFill="1" applyBorder="1" applyAlignment="1" applyProtection="1">
      <alignment horizontal="center" vertical="center" textRotation="90"/>
      <protection hidden="1"/>
    </xf>
    <xf numFmtId="0" fontId="26" fillId="6" borderId="47" xfId="0" applyFont="1" applyFill="1" applyBorder="1" applyAlignment="1" applyProtection="1">
      <alignment horizontal="center" vertical="center" textRotation="90"/>
      <protection hidden="1"/>
    </xf>
    <xf numFmtId="0" fontId="33" fillId="12" borderId="26" xfId="0" applyFont="1" applyFill="1" applyBorder="1" applyAlignment="1" applyProtection="1">
      <alignment horizontal="center" vertical="center" wrapText="1"/>
      <protection hidden="1"/>
    </xf>
    <xf numFmtId="0" fontId="33" fillId="12" borderId="27" xfId="0" applyFont="1" applyFill="1" applyBorder="1" applyAlignment="1" applyProtection="1">
      <alignment horizontal="center" vertical="center" wrapText="1"/>
      <protection hidden="1"/>
    </xf>
    <xf numFmtId="0" fontId="26" fillId="0" borderId="50" xfId="0" applyFont="1" applyBorder="1" applyAlignment="1" applyProtection="1">
      <alignment horizontal="center" vertical="center"/>
      <protection hidden="1"/>
    </xf>
    <xf numFmtId="0" fontId="26" fillId="0" borderId="51" xfId="0" applyFont="1" applyBorder="1" applyAlignment="1" applyProtection="1">
      <alignment horizontal="center" vertical="center"/>
      <protection hidden="1"/>
    </xf>
    <xf numFmtId="0" fontId="26" fillId="0" borderId="52" xfId="0" applyFont="1" applyBorder="1" applyAlignment="1" applyProtection="1">
      <alignment horizontal="center" vertical="center"/>
      <protection hidden="1"/>
    </xf>
    <xf numFmtId="0" fontId="34" fillId="9" borderId="50" xfId="0" applyFont="1" applyFill="1" applyBorder="1" applyAlignment="1" applyProtection="1">
      <alignment horizontal="center" vertical="center"/>
      <protection hidden="1"/>
    </xf>
    <xf numFmtId="0" fontId="34" fillId="9" borderId="51" xfId="0" applyFont="1" applyFill="1" applyBorder="1" applyAlignment="1" applyProtection="1">
      <alignment horizontal="center" vertical="center"/>
      <protection hidden="1"/>
    </xf>
    <xf numFmtId="0" fontId="34" fillId="9" borderId="52" xfId="0" applyFont="1" applyFill="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8" fillId="0" borderId="15" xfId="0" applyFont="1" applyBorder="1" applyAlignment="1" applyProtection="1">
      <alignment horizontal="center" vertical="center"/>
      <protection hidden="1"/>
    </xf>
    <xf numFmtId="10" fontId="1" fillId="22" borderId="28" xfId="2" applyNumberFormat="1" applyFont="1" applyFill="1" applyBorder="1" applyAlignment="1" applyProtection="1">
      <alignment horizontal="center" vertical="center"/>
      <protection hidden="1"/>
    </xf>
    <xf numFmtId="10" fontId="1" fillId="22" borderId="30" xfId="2" applyNumberFormat="1" applyFont="1" applyFill="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1" fillId="10" borderId="28" xfId="0" applyFont="1" applyFill="1" applyBorder="1" applyAlignment="1" applyProtection="1">
      <alignment horizontal="center" vertical="center" textRotation="90"/>
      <protection hidden="1"/>
    </xf>
    <xf numFmtId="0" fontId="1" fillId="10" borderId="29" xfId="0" applyFont="1" applyFill="1" applyBorder="1" applyAlignment="1" applyProtection="1">
      <alignment horizontal="center" vertical="center" textRotation="90"/>
      <protection hidden="1"/>
    </xf>
    <xf numFmtId="0" fontId="1" fillId="10" borderId="30" xfId="0" applyFont="1" applyFill="1" applyBorder="1" applyAlignment="1" applyProtection="1">
      <alignment horizontal="center" vertical="center" textRotation="90"/>
      <protection hidden="1"/>
    </xf>
    <xf numFmtId="0" fontId="1" fillId="20" borderId="28" xfId="0" applyFont="1" applyFill="1" applyBorder="1" applyAlignment="1" applyProtection="1">
      <alignment horizontal="center" vertical="center"/>
      <protection hidden="1"/>
    </xf>
    <xf numFmtId="0" fontId="1" fillId="20" borderId="29" xfId="0" applyFont="1" applyFill="1" applyBorder="1" applyAlignment="1" applyProtection="1">
      <alignment horizontal="center" vertical="center"/>
      <protection hidden="1"/>
    </xf>
    <xf numFmtId="0" fontId="1" fillId="20" borderId="30" xfId="0" applyFont="1" applyFill="1" applyBorder="1" applyAlignment="1" applyProtection="1">
      <alignment horizontal="center" vertical="center"/>
      <protection hidden="1"/>
    </xf>
    <xf numFmtId="0" fontId="1" fillId="19" borderId="26" xfId="0" applyFont="1" applyFill="1" applyBorder="1" applyAlignment="1" applyProtection="1">
      <alignment horizontal="center" vertical="center"/>
      <protection hidden="1"/>
    </xf>
    <xf numFmtId="0" fontId="1" fillId="19" borderId="27" xfId="0" applyFont="1" applyFill="1" applyBorder="1" applyAlignment="1" applyProtection="1">
      <alignment horizontal="center" vertical="center"/>
      <protection hidden="1"/>
    </xf>
    <xf numFmtId="0" fontId="1" fillId="20" borderId="17" xfId="0" applyFont="1" applyFill="1" applyBorder="1" applyAlignment="1" applyProtection="1">
      <alignment horizontal="center" vertical="center"/>
      <protection hidden="1"/>
    </xf>
    <xf numFmtId="0" fontId="1" fillId="20" borderId="19" xfId="0" applyFont="1" applyFill="1" applyBorder="1" applyAlignment="1" applyProtection="1">
      <alignment horizontal="center" vertical="center"/>
      <protection hidden="1"/>
    </xf>
    <xf numFmtId="0" fontId="1" fillId="20" borderId="20" xfId="0" applyFont="1" applyFill="1" applyBorder="1" applyAlignment="1" applyProtection="1">
      <alignment horizontal="center" vertical="center"/>
      <protection hidden="1"/>
    </xf>
    <xf numFmtId="0" fontId="1" fillId="20" borderId="21" xfId="0" applyFont="1" applyFill="1" applyBorder="1" applyAlignment="1" applyProtection="1">
      <alignment horizontal="center" vertical="center"/>
      <protection hidden="1"/>
    </xf>
    <xf numFmtId="0" fontId="1" fillId="20" borderId="22" xfId="0" applyFont="1" applyFill="1" applyBorder="1" applyAlignment="1" applyProtection="1">
      <alignment horizontal="center" vertical="center"/>
      <protection hidden="1"/>
    </xf>
    <xf numFmtId="0" fontId="1" fillId="20" borderId="24" xfId="0" applyFont="1" applyFill="1" applyBorder="1" applyAlignment="1" applyProtection="1">
      <alignment horizontal="center" vertical="center"/>
      <protection hidden="1"/>
    </xf>
    <xf numFmtId="0" fontId="1" fillId="10" borderId="19" xfId="0" applyFont="1" applyFill="1" applyBorder="1" applyAlignment="1" applyProtection="1">
      <alignment horizontal="center" vertical="center" textRotation="90"/>
      <protection hidden="1"/>
    </xf>
    <xf numFmtId="0" fontId="1" fillId="10" borderId="21" xfId="0" applyFont="1" applyFill="1" applyBorder="1" applyAlignment="1" applyProtection="1">
      <alignment horizontal="center" vertical="center" textRotation="90"/>
      <protection hidden="1"/>
    </xf>
    <xf numFmtId="0" fontId="1" fillId="10" borderId="24" xfId="0" applyFont="1" applyFill="1" applyBorder="1" applyAlignment="1" applyProtection="1">
      <alignment horizontal="center" vertical="center" textRotation="90"/>
      <protection hidden="1"/>
    </xf>
    <xf numFmtId="0" fontId="1" fillId="20" borderId="28" xfId="0" applyFont="1" applyFill="1" applyBorder="1" applyAlignment="1" applyProtection="1">
      <alignment horizontal="left" vertical="center"/>
      <protection hidden="1"/>
    </xf>
    <xf numFmtId="0" fontId="1" fillId="20" borderId="30" xfId="0" applyFont="1" applyFill="1" applyBorder="1" applyAlignment="1" applyProtection="1">
      <alignment horizontal="left" vertical="center"/>
      <protection hidden="1"/>
    </xf>
  </cellXfs>
  <cellStyles count="4">
    <cellStyle name="Currency" xfId="3" builtinId="4"/>
    <cellStyle name="Normal" xfId="0" builtinId="0"/>
    <cellStyle name="Normal 2" xfId="1" xr:uid="{184BADF0-7B71-40D2-B2B1-8570DE6894AC}"/>
    <cellStyle name="Percent" xfId="2" builtinId="5"/>
  </cellStyles>
  <dxfs count="256">
    <dxf>
      <fill>
        <patternFill>
          <bgColor rgb="FFFF0000"/>
        </patternFill>
      </fill>
    </dxf>
    <dxf>
      <fill>
        <patternFill>
          <bgColor rgb="FFFF7C80"/>
        </patternFill>
      </fill>
    </dxf>
    <dxf>
      <fill>
        <patternFill>
          <bgColor theme="7"/>
        </patternFill>
      </fill>
    </dxf>
    <dxf>
      <fill>
        <patternFill>
          <bgColor rgb="FF92D050"/>
        </patternFill>
      </fill>
    </dxf>
    <dxf>
      <fill>
        <patternFill>
          <bgColor rgb="FFFF0000"/>
        </patternFill>
      </fill>
    </dxf>
    <dxf>
      <fill>
        <patternFill>
          <bgColor rgb="FFFF7C80"/>
        </patternFill>
      </fill>
    </dxf>
    <dxf>
      <fill>
        <patternFill>
          <bgColor theme="7"/>
        </patternFill>
      </fill>
    </dxf>
    <dxf>
      <fill>
        <patternFill>
          <bgColor rgb="FF92D050"/>
        </patternFill>
      </fill>
    </dxf>
    <dxf>
      <fill>
        <patternFill>
          <bgColor theme="0" tint="-0.14996795556505021"/>
        </patternFill>
      </fill>
    </dxf>
    <dxf>
      <fill>
        <patternFill>
          <bgColor rgb="FFFF0000"/>
        </patternFill>
      </fill>
    </dxf>
    <dxf>
      <fill>
        <patternFill patternType="solid">
          <bgColor rgb="FFFF7C80"/>
        </patternFill>
      </fill>
    </dxf>
    <dxf>
      <fill>
        <patternFill>
          <bgColor rgb="FFFFC000"/>
        </patternFill>
      </fill>
    </dxf>
    <dxf>
      <fill>
        <patternFill>
          <bgColor rgb="FF92D050"/>
        </patternFill>
      </fill>
    </dxf>
    <dxf>
      <font>
        <b/>
        <i val="0"/>
        <color theme="1"/>
      </font>
      <fill>
        <patternFill>
          <bgColor theme="0" tint="-0.14996795556505021"/>
        </patternFill>
      </fill>
    </dxf>
    <dxf>
      <fill>
        <patternFill>
          <bgColor rgb="FFFF0000"/>
        </patternFill>
      </fill>
    </dxf>
    <dxf>
      <fill>
        <patternFill>
          <bgColor rgb="FF92D050"/>
        </patternFill>
      </fill>
    </dxf>
    <dxf>
      <fill>
        <patternFill>
          <bgColor theme="7"/>
        </patternFill>
      </fill>
    </dxf>
    <dxf>
      <fill>
        <patternFill>
          <bgColor rgb="FFFF7C80"/>
        </patternFill>
      </fill>
    </dxf>
    <dxf>
      <font>
        <b/>
        <i val="0"/>
        <color theme="1"/>
      </font>
      <fill>
        <patternFill>
          <bgColor theme="0" tint="-0.14996795556505021"/>
        </patternFill>
      </fill>
    </dxf>
    <dxf>
      <fill>
        <patternFill>
          <bgColor rgb="FF92D050"/>
        </patternFill>
      </fill>
    </dxf>
    <dxf>
      <fill>
        <patternFill>
          <bgColor theme="7"/>
        </patternFill>
      </fill>
    </dxf>
    <dxf>
      <fill>
        <patternFill>
          <bgColor rgb="FFFF7C80"/>
        </patternFill>
      </fill>
    </dxf>
    <dxf>
      <fill>
        <patternFill>
          <bgColor rgb="FFFF0000"/>
        </patternFill>
      </fill>
    </dxf>
    <dxf>
      <fill>
        <patternFill>
          <bgColor rgb="FFFF0000"/>
        </patternFill>
      </fill>
    </dxf>
    <dxf>
      <fill>
        <patternFill patternType="solid">
          <bgColor rgb="FFFF7C80"/>
        </patternFill>
      </fill>
    </dxf>
    <dxf>
      <fill>
        <patternFill>
          <bgColor theme="7"/>
        </patternFill>
      </fill>
    </dxf>
    <dxf>
      <fill>
        <patternFill>
          <bgColor rgb="FF92D050"/>
        </patternFill>
      </fill>
    </dxf>
    <dxf>
      <fill>
        <patternFill>
          <bgColor theme="0" tint="-0.14996795556505021"/>
        </patternFill>
      </fill>
    </dxf>
    <dxf>
      <fill>
        <patternFill>
          <bgColor theme="0" tint="-0.14996795556505021"/>
        </patternFill>
      </fill>
    </dxf>
    <dxf>
      <font>
        <b/>
        <i val="0"/>
      </font>
      <fill>
        <patternFill>
          <bgColor theme="9" tint="0.59996337778862885"/>
        </patternFill>
      </fill>
    </dxf>
    <dxf>
      <font>
        <b/>
        <i val="0"/>
        <color auto="1"/>
      </font>
      <fill>
        <patternFill>
          <bgColor theme="5" tint="0.59996337778862885"/>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7C80"/>
        </patternFill>
      </fill>
    </dxf>
    <dxf>
      <fill>
        <patternFill>
          <bgColor rgb="FFFFC000"/>
        </patternFill>
      </fill>
    </dxf>
    <dxf>
      <fill>
        <patternFill>
          <bgColor theme="9" tint="0.39994506668294322"/>
        </patternFill>
      </fill>
    </dxf>
    <dxf>
      <fill>
        <patternFill>
          <bgColor rgb="FF92D05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theme="1"/>
      </font>
      <fill>
        <patternFill>
          <bgColor theme="0" tint="-0.14996795556505021"/>
        </patternFill>
      </fill>
    </dxf>
    <dxf>
      <fill>
        <patternFill>
          <bgColor rgb="FF92D050"/>
        </patternFill>
      </fill>
    </dxf>
    <dxf>
      <fill>
        <patternFill>
          <bgColor theme="7"/>
        </patternFill>
      </fill>
    </dxf>
    <dxf>
      <fill>
        <patternFill>
          <bgColor rgb="FFFF7C80"/>
        </patternFill>
      </fill>
    </dxf>
    <dxf>
      <fill>
        <patternFill>
          <bgColor rgb="FFFF0000"/>
        </patternFill>
      </fill>
    </dxf>
    <dxf>
      <font>
        <b/>
        <i val="0"/>
        <color theme="1"/>
      </font>
      <fill>
        <patternFill>
          <bgColor theme="0" tint="-0.14996795556505021"/>
        </patternFill>
      </fill>
    </dxf>
    <dxf>
      <fill>
        <patternFill>
          <bgColor rgb="FF92D050"/>
        </patternFill>
      </fill>
    </dxf>
    <dxf>
      <fill>
        <patternFill>
          <bgColor theme="7"/>
        </patternFill>
      </fill>
    </dxf>
    <dxf>
      <fill>
        <patternFill>
          <bgColor rgb="FFFF7C80"/>
        </patternFill>
      </fill>
    </dxf>
    <dxf>
      <fill>
        <patternFill>
          <bgColor rgb="FFFF0000"/>
        </patternFill>
      </fill>
    </dxf>
    <dxf>
      <fill>
        <patternFill>
          <bgColor rgb="FFFF0000"/>
        </patternFill>
      </fill>
    </dxf>
    <dxf>
      <fill>
        <patternFill patternType="solid">
          <bgColor rgb="FFFF7C80"/>
        </patternFill>
      </fill>
    </dxf>
    <dxf>
      <fill>
        <patternFill>
          <bgColor theme="7"/>
        </patternFill>
      </fill>
    </dxf>
    <dxf>
      <fill>
        <patternFill>
          <bgColor rgb="FF92D050"/>
        </patternFill>
      </fill>
    </dxf>
    <dxf>
      <fill>
        <patternFill>
          <bgColor theme="0" tint="-0.14996795556505021"/>
        </patternFill>
      </fill>
    </dxf>
    <dxf>
      <fill>
        <patternFill>
          <bgColor theme="0" tint="-0.14996795556505021"/>
        </patternFill>
      </fill>
    </dxf>
    <dxf>
      <font>
        <b/>
        <i val="0"/>
      </font>
      <fill>
        <patternFill>
          <bgColor theme="9" tint="0.59996337778862885"/>
        </patternFill>
      </fill>
    </dxf>
    <dxf>
      <font>
        <b/>
        <i val="0"/>
        <color auto="1"/>
      </font>
      <fill>
        <patternFill>
          <bgColor theme="5" tint="0.59996337778862885"/>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7C80"/>
        </patternFill>
      </fill>
    </dxf>
    <dxf>
      <fill>
        <patternFill>
          <bgColor rgb="FFFFC000"/>
        </patternFill>
      </fill>
    </dxf>
    <dxf>
      <fill>
        <patternFill>
          <bgColor theme="9" tint="0.39994506668294322"/>
        </patternFill>
      </fill>
    </dxf>
    <dxf>
      <fill>
        <patternFill>
          <bgColor rgb="FF92D05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theme="1"/>
      </font>
      <fill>
        <patternFill>
          <bgColor theme="0" tint="-0.14996795556505021"/>
        </patternFill>
      </fill>
    </dxf>
    <dxf>
      <fill>
        <patternFill>
          <bgColor rgb="FF92D050"/>
        </patternFill>
      </fill>
    </dxf>
    <dxf>
      <fill>
        <patternFill>
          <bgColor theme="7"/>
        </patternFill>
      </fill>
    </dxf>
    <dxf>
      <fill>
        <patternFill>
          <bgColor rgb="FFFF7C80"/>
        </patternFill>
      </fill>
    </dxf>
    <dxf>
      <fill>
        <patternFill>
          <bgColor rgb="FFFF0000"/>
        </patternFill>
      </fill>
    </dxf>
    <dxf>
      <fill>
        <patternFill>
          <bgColor rgb="FFFF7C80"/>
        </patternFill>
      </fill>
    </dxf>
    <dxf>
      <fill>
        <patternFill>
          <bgColor rgb="FFFF0000"/>
        </patternFill>
      </fill>
    </dxf>
    <dxf>
      <font>
        <b/>
        <i val="0"/>
        <color theme="1"/>
      </font>
      <fill>
        <patternFill>
          <bgColor theme="0" tint="-0.14996795556505021"/>
        </patternFill>
      </fill>
    </dxf>
    <dxf>
      <fill>
        <patternFill>
          <bgColor rgb="FF92D050"/>
        </patternFill>
      </fill>
    </dxf>
    <dxf>
      <fill>
        <patternFill>
          <bgColor theme="7"/>
        </patternFill>
      </fill>
    </dxf>
    <dxf>
      <fill>
        <patternFill>
          <bgColor theme="0" tint="-0.14996795556505021"/>
        </patternFill>
      </fill>
    </dxf>
    <dxf>
      <fill>
        <patternFill>
          <bgColor theme="0" tint="-0.14996795556505021"/>
        </patternFill>
      </fill>
    </dxf>
    <dxf>
      <fill>
        <patternFill>
          <bgColor rgb="FFFF0000"/>
        </patternFill>
      </fill>
    </dxf>
    <dxf>
      <fill>
        <patternFill patternType="solid">
          <bgColor rgb="FFFF7C80"/>
        </patternFill>
      </fill>
    </dxf>
    <dxf>
      <fill>
        <patternFill>
          <bgColor theme="7"/>
        </patternFill>
      </fill>
    </dxf>
    <dxf>
      <fill>
        <patternFill>
          <bgColor rgb="FF92D050"/>
        </patternFill>
      </fill>
    </dxf>
    <dxf>
      <fill>
        <patternFill>
          <bgColor theme="0" tint="-0.14996795556505021"/>
        </patternFill>
      </fill>
    </dxf>
    <dxf>
      <font>
        <b/>
        <i val="0"/>
      </font>
      <fill>
        <patternFill>
          <bgColor theme="9" tint="0.59996337778862885"/>
        </patternFill>
      </fill>
    </dxf>
    <dxf>
      <font>
        <b/>
        <i val="0"/>
        <color auto="1"/>
      </font>
      <fill>
        <patternFill>
          <bgColor theme="5" tint="0.59996337778862885"/>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7C80"/>
        </patternFill>
      </fill>
    </dxf>
    <dxf>
      <fill>
        <patternFill>
          <bgColor rgb="FFFFC000"/>
        </patternFill>
      </fill>
    </dxf>
    <dxf>
      <fill>
        <patternFill>
          <bgColor theme="9" tint="0.39994506668294322"/>
        </patternFill>
      </fill>
    </dxf>
    <dxf>
      <fill>
        <patternFill>
          <bgColor rgb="FF92D05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indexed="10"/>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theme="1"/>
      </font>
      <fill>
        <patternFill>
          <bgColor theme="0" tint="-0.14996795556505021"/>
        </patternFill>
      </fill>
    </dxf>
    <dxf>
      <fill>
        <patternFill>
          <bgColor rgb="FF92D050"/>
        </patternFill>
      </fill>
    </dxf>
    <dxf>
      <fill>
        <patternFill>
          <bgColor theme="7"/>
        </patternFill>
      </fill>
    </dxf>
    <dxf>
      <fill>
        <patternFill>
          <bgColor rgb="FFFF7C80"/>
        </patternFill>
      </fill>
    </dxf>
    <dxf>
      <fill>
        <patternFill>
          <bgColor rgb="FFFF0000"/>
        </patternFill>
      </fill>
    </dxf>
    <dxf>
      <font>
        <b val="0"/>
        <i val="0"/>
        <color theme="1"/>
      </font>
      <fill>
        <patternFill>
          <bgColor theme="0" tint="-0.14996795556505021"/>
        </patternFill>
      </fill>
    </dxf>
    <dxf>
      <fill>
        <patternFill>
          <bgColor rgb="FF92D050"/>
        </patternFill>
      </fill>
    </dxf>
    <dxf>
      <fill>
        <patternFill>
          <bgColor theme="7"/>
        </patternFill>
      </fill>
    </dxf>
    <dxf>
      <fill>
        <patternFill>
          <bgColor rgb="FFFF7C80"/>
        </patternFill>
      </fill>
    </dxf>
    <dxf>
      <fill>
        <patternFill>
          <bgColor rgb="FFFF0000"/>
        </patternFill>
      </fill>
    </dxf>
    <dxf>
      <fill>
        <patternFill>
          <bgColor theme="0" tint="-0.14996795556505021"/>
        </patternFill>
      </fill>
    </dxf>
    <dxf>
      <fill>
        <patternFill>
          <bgColor rgb="FFFF0000"/>
        </patternFill>
      </fill>
    </dxf>
    <dxf>
      <fill>
        <patternFill patternType="solid">
          <bgColor rgb="FFFF7C80"/>
        </patternFill>
      </fill>
    </dxf>
    <dxf>
      <fill>
        <patternFill>
          <bgColor theme="7"/>
        </patternFill>
      </fill>
    </dxf>
    <dxf>
      <fill>
        <patternFill>
          <bgColor rgb="FF92D050"/>
        </patternFill>
      </fill>
    </dxf>
    <dxf>
      <fill>
        <patternFill>
          <bgColor theme="0" tint="-0.14996795556505021"/>
        </patternFill>
      </fill>
    </dxf>
    <dxf>
      <fill>
        <patternFill>
          <bgColor theme="0" tint="-0.14996795556505021"/>
        </patternFill>
      </fill>
    </dxf>
    <dxf>
      <font>
        <b/>
        <i val="0"/>
      </font>
      <fill>
        <patternFill>
          <bgColor theme="9" tint="0.59996337778862885"/>
        </patternFill>
      </fill>
    </dxf>
    <dxf>
      <font>
        <b/>
        <i val="0"/>
        <color auto="1"/>
      </font>
      <fill>
        <patternFill>
          <bgColor theme="5" tint="0.59996337778862885"/>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92D050"/>
        </patternFill>
      </fill>
    </dxf>
    <dxf>
      <fill>
        <patternFill>
          <bgColor theme="0" tint="-0.14996795556505021"/>
        </patternFill>
      </fill>
    </dxf>
    <dxf>
      <fill>
        <patternFill>
          <bgColor rgb="FFFF0000"/>
        </patternFill>
      </fill>
    </dxf>
    <dxf>
      <fill>
        <patternFill>
          <bgColor rgb="FFFF7C80"/>
        </patternFill>
      </fill>
    </dxf>
    <dxf>
      <fill>
        <patternFill>
          <bgColor rgb="FFFFC000"/>
        </patternFill>
      </fill>
    </dxf>
    <dxf>
      <fill>
        <patternFill>
          <bgColor theme="9"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theme="1"/>
      </font>
      <fill>
        <patternFill>
          <bgColor theme="0" tint="-0.14996795556505021"/>
        </patternFill>
      </fill>
    </dxf>
    <dxf>
      <fill>
        <patternFill>
          <bgColor rgb="FF92D050"/>
        </patternFill>
      </fill>
    </dxf>
    <dxf>
      <fill>
        <patternFill>
          <bgColor theme="7"/>
        </patternFill>
      </fill>
    </dxf>
    <dxf>
      <fill>
        <patternFill>
          <bgColor rgb="FFFF7C80"/>
        </patternFill>
      </fill>
    </dxf>
    <dxf>
      <fill>
        <patternFill>
          <bgColor rgb="FFFF0000"/>
        </patternFill>
      </fill>
    </dxf>
    <dxf>
      <font>
        <b/>
        <i val="0"/>
        <color theme="1"/>
      </font>
      <fill>
        <patternFill>
          <bgColor theme="0" tint="-0.14996795556505021"/>
        </patternFill>
      </fill>
    </dxf>
    <dxf>
      <fill>
        <patternFill>
          <bgColor rgb="FF92D050"/>
        </patternFill>
      </fill>
    </dxf>
    <dxf>
      <fill>
        <patternFill>
          <bgColor theme="7"/>
        </patternFill>
      </fill>
    </dxf>
    <dxf>
      <fill>
        <patternFill>
          <bgColor rgb="FFFF7C80"/>
        </patternFill>
      </fill>
    </dxf>
    <dxf>
      <fill>
        <patternFill>
          <bgColor rgb="FFFF0000"/>
        </patternFill>
      </fill>
    </dxf>
    <dxf>
      <fill>
        <patternFill patternType="solid">
          <bgColor rgb="FFFF7C80"/>
        </patternFill>
      </fill>
    </dxf>
    <dxf>
      <fill>
        <patternFill>
          <bgColor rgb="FFFF0000"/>
        </patternFill>
      </fill>
    </dxf>
    <dxf>
      <fill>
        <patternFill>
          <bgColor theme="0" tint="-0.14996795556505021"/>
        </patternFill>
      </fill>
    </dxf>
    <dxf>
      <fill>
        <patternFill>
          <bgColor rgb="FF92D050"/>
        </patternFill>
      </fill>
    </dxf>
    <dxf>
      <fill>
        <patternFill>
          <bgColor theme="7"/>
        </patternFill>
      </fill>
    </dxf>
    <dxf>
      <fill>
        <patternFill>
          <bgColor theme="0" tint="-0.14996795556505021"/>
        </patternFill>
      </fill>
    </dxf>
    <dxf>
      <font>
        <b/>
        <i val="0"/>
      </font>
      <fill>
        <patternFill>
          <bgColor theme="9" tint="0.59996337778862885"/>
        </patternFill>
      </fill>
    </dxf>
    <dxf>
      <font>
        <b/>
        <i val="0"/>
        <color auto="1"/>
      </font>
      <fill>
        <patternFill>
          <bgColor theme="5" tint="0.59996337778862885"/>
        </patternFill>
      </fill>
    </dxf>
    <dxf>
      <font>
        <b/>
        <i val="0"/>
        <color rgb="FFFF0000"/>
      </font>
    </dxf>
    <dxf>
      <fill>
        <patternFill>
          <bgColor theme="0" tint="-0.14996795556505021"/>
        </patternFill>
      </fill>
    </dxf>
    <dxf>
      <font>
        <b/>
        <i val="0"/>
        <color rgb="FFFF0000"/>
      </font>
    </dxf>
    <dxf>
      <fill>
        <patternFill>
          <bgColor theme="0" tint="-0.14996795556505021"/>
        </patternFill>
      </fill>
    </dxf>
    <dxf>
      <fill>
        <patternFill>
          <bgColor theme="0" tint="-0.14996795556505021"/>
        </patternFill>
      </fill>
    </dxf>
    <dxf>
      <fill>
        <patternFill>
          <bgColor rgb="FF92D050"/>
        </patternFill>
      </fill>
    </dxf>
    <dxf>
      <fill>
        <patternFill>
          <bgColor theme="0" tint="-0.14996795556505021"/>
        </patternFill>
      </fill>
    </dxf>
    <dxf>
      <fill>
        <patternFill>
          <bgColor rgb="FFFF0000"/>
        </patternFill>
      </fill>
    </dxf>
    <dxf>
      <fill>
        <patternFill>
          <bgColor rgb="FFFF7C80"/>
        </patternFill>
      </fill>
    </dxf>
    <dxf>
      <fill>
        <patternFill>
          <bgColor rgb="FFFFC000"/>
        </patternFill>
      </fill>
    </dxf>
    <dxf>
      <fill>
        <patternFill>
          <bgColor theme="9"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theme="1"/>
      </font>
      <fill>
        <patternFill>
          <bgColor theme="0" tint="-0.14996795556505021"/>
        </patternFill>
      </fill>
    </dxf>
    <dxf>
      <fill>
        <patternFill>
          <bgColor rgb="FFFF7C80"/>
        </patternFill>
      </fill>
    </dxf>
    <dxf>
      <fill>
        <patternFill>
          <bgColor rgb="FFFF0000"/>
        </patternFill>
      </fill>
    </dxf>
    <dxf>
      <fill>
        <patternFill>
          <bgColor rgb="FF92D050"/>
        </patternFill>
      </fill>
    </dxf>
    <dxf>
      <fill>
        <patternFill>
          <bgColor theme="7"/>
        </patternFill>
      </fill>
    </dxf>
    <dxf>
      <font>
        <b/>
        <i val="0"/>
        <color theme="1"/>
      </font>
      <fill>
        <patternFill>
          <bgColor theme="0" tint="-0.14996795556505021"/>
        </patternFill>
      </fill>
    </dxf>
    <dxf>
      <fill>
        <patternFill>
          <bgColor rgb="FF92D050"/>
        </patternFill>
      </fill>
    </dxf>
    <dxf>
      <fill>
        <patternFill>
          <bgColor theme="7"/>
        </patternFill>
      </fill>
    </dxf>
    <dxf>
      <fill>
        <patternFill>
          <bgColor rgb="FFFF7C80"/>
        </patternFill>
      </fill>
    </dxf>
    <dxf>
      <fill>
        <patternFill>
          <bgColor rgb="FFFF0000"/>
        </patternFill>
      </fill>
    </dxf>
    <dxf>
      <fill>
        <patternFill>
          <bgColor rgb="FFFF0000"/>
        </patternFill>
      </fill>
    </dxf>
    <dxf>
      <fill>
        <patternFill patternType="solid">
          <bgColor rgb="FFFF7C80"/>
        </patternFill>
      </fill>
    </dxf>
    <dxf>
      <fill>
        <patternFill>
          <bgColor theme="7"/>
        </patternFill>
      </fill>
    </dxf>
    <dxf>
      <fill>
        <patternFill>
          <bgColor rgb="FF92D050"/>
        </patternFill>
      </fill>
    </dxf>
    <dxf>
      <fill>
        <patternFill>
          <bgColor theme="0" tint="-0.14996795556505021"/>
        </patternFill>
      </fill>
    </dxf>
    <dxf>
      <fill>
        <patternFill>
          <bgColor theme="0" tint="-0.14996795556505021"/>
        </patternFill>
      </fill>
    </dxf>
    <dxf>
      <font>
        <b/>
        <i val="0"/>
      </font>
      <fill>
        <patternFill>
          <bgColor theme="9" tint="0.59996337778862885"/>
        </patternFill>
      </fill>
    </dxf>
    <dxf>
      <font>
        <b/>
        <i val="0"/>
      </font>
      <fill>
        <patternFill>
          <bgColor theme="5" tint="0.59996337778862885"/>
        </patternFill>
      </fill>
    </dxf>
    <dxf>
      <font>
        <b/>
        <i val="0"/>
      </font>
      <fill>
        <patternFill>
          <bgColor theme="9" tint="0.59996337778862885"/>
        </patternFill>
      </fill>
    </dxf>
    <dxf>
      <font>
        <b/>
        <i val="0"/>
        <color auto="1"/>
      </font>
      <fill>
        <patternFill>
          <bgColor theme="5" tint="0.59996337778862885"/>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92D050"/>
        </patternFill>
      </fill>
    </dxf>
    <dxf>
      <fill>
        <patternFill>
          <bgColor theme="9" tint="0.39994506668294322"/>
        </patternFill>
      </fill>
    </dxf>
    <dxf>
      <fill>
        <patternFill>
          <bgColor theme="0" tint="-0.14996795556505021"/>
        </patternFill>
      </fill>
    </dxf>
    <dxf>
      <fill>
        <patternFill>
          <bgColor rgb="FFFF0000"/>
        </patternFill>
      </fill>
    </dxf>
    <dxf>
      <fill>
        <patternFill>
          <bgColor rgb="FFFF7C80"/>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patternFill>
      </fill>
    </dxf>
    <dxf>
      <fill>
        <patternFill>
          <bgColor rgb="FFFF7C80"/>
        </patternFill>
      </fill>
    </dxf>
    <dxf>
      <fill>
        <patternFill>
          <bgColor rgb="FFFF0000"/>
        </patternFill>
      </fill>
    </dxf>
    <dxf>
      <fill>
        <patternFill>
          <bgColor rgb="FF92D050"/>
        </patternFill>
      </fill>
    </dxf>
    <dxf>
      <font>
        <b/>
        <i val="0"/>
        <color theme="1"/>
      </font>
      <fill>
        <patternFill>
          <bgColor theme="0" tint="-0.14996795556505021"/>
        </patternFill>
      </fill>
    </dxf>
    <dxf>
      <fill>
        <patternFill>
          <bgColor rgb="FF92D050"/>
        </patternFill>
      </fill>
    </dxf>
    <dxf>
      <fill>
        <patternFill>
          <bgColor theme="7"/>
        </patternFill>
      </fill>
    </dxf>
    <dxf>
      <fill>
        <patternFill>
          <bgColor rgb="FFFF7C80"/>
        </patternFill>
      </fill>
    </dxf>
    <dxf>
      <fill>
        <patternFill>
          <bgColor rgb="FFFF0000"/>
        </patternFill>
      </fill>
    </dxf>
    <dxf>
      <fill>
        <patternFill>
          <bgColor theme="7"/>
        </patternFill>
      </fill>
    </dxf>
    <dxf>
      <fill>
        <patternFill patternType="solid">
          <bgColor rgb="FFFF7C80"/>
        </patternFill>
      </fill>
    </dxf>
    <dxf>
      <fill>
        <patternFill>
          <bgColor rgb="FFFF0000"/>
        </patternFill>
      </fill>
    </dxf>
    <dxf>
      <fill>
        <patternFill>
          <bgColor rgb="FF92D050"/>
        </patternFill>
      </fill>
    </dxf>
    <dxf>
      <fill>
        <patternFill>
          <bgColor theme="0" tint="-0.14996795556505021"/>
        </patternFill>
      </fill>
    </dxf>
    <dxf>
      <font>
        <b/>
        <i val="0"/>
        <color theme="1"/>
      </font>
      <fill>
        <patternFill>
          <bgColor theme="0" tint="-0.14996795556505021"/>
        </patternFill>
      </fill>
    </dxf>
    <dxf>
      <fill>
        <patternFill patternType="solid">
          <bgColor rgb="FFFF7C80"/>
        </patternFill>
      </fill>
    </dxf>
    <dxf>
      <fill>
        <patternFill>
          <bgColor theme="7"/>
        </patternFill>
      </fill>
    </dxf>
    <dxf>
      <fill>
        <patternFill>
          <bgColor rgb="FF92D050"/>
        </patternFill>
      </fill>
    </dxf>
    <dxf>
      <fill>
        <patternFill>
          <bgColor rgb="FFFF0000"/>
        </patternFill>
      </fill>
    </dxf>
    <dxf>
      <fill>
        <patternFill>
          <bgColor theme="0" tint="-0.14996795556505021"/>
        </patternFill>
      </fill>
    </dxf>
    <dxf>
      <font>
        <b/>
        <i val="0"/>
        <color auto="1"/>
      </font>
      <fill>
        <patternFill>
          <bgColor theme="5" tint="0.59996337778862885"/>
        </patternFill>
      </fill>
    </dxf>
    <dxf>
      <font>
        <b/>
        <i val="0"/>
      </font>
      <fill>
        <patternFill>
          <bgColor theme="9" tint="0.59996337778862885"/>
        </patternFill>
      </fill>
    </dxf>
    <dxf>
      <font>
        <b/>
        <i val="0"/>
        <color rgb="FFFF000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7C80"/>
        </patternFill>
      </fill>
    </dxf>
    <dxf>
      <fill>
        <patternFill>
          <bgColor rgb="FFFFC000"/>
        </patternFill>
      </fill>
    </dxf>
    <dxf>
      <fill>
        <patternFill>
          <bgColor theme="9" tint="0.39994506668294322"/>
        </patternFill>
      </fill>
    </dxf>
    <dxf>
      <fill>
        <patternFill>
          <bgColor rgb="FF92D05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F7C80"/>
      <color rgb="FFFFCCCC"/>
      <color rgb="FFFFC7CE"/>
      <color rgb="FFFF9999"/>
      <color rgb="FF8EA9DB"/>
      <color rgb="FF99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72395-C73A-4F23-89E2-354783AD9956}">
  <dimension ref="B1:R84"/>
  <sheetViews>
    <sheetView showGridLines="0" zoomScale="80" zoomScaleNormal="80" workbookViewId="0">
      <selection activeCell="C105" sqref="C105"/>
    </sheetView>
  </sheetViews>
  <sheetFormatPr defaultColWidth="8.7265625" defaultRowHeight="16" x14ac:dyDescent="0.4"/>
  <cols>
    <col min="1" max="1" width="6.453125" style="61" customWidth="1"/>
    <col min="2" max="2" width="8.7265625" style="61"/>
    <col min="3" max="3" width="45.7265625" style="61" customWidth="1"/>
    <col min="4" max="4" width="28.1796875" style="61" customWidth="1"/>
    <col min="5" max="5" width="11.1796875" style="61" customWidth="1"/>
    <col min="6" max="6" width="18.54296875" style="61" customWidth="1"/>
    <col min="7" max="7" width="8.7265625" style="61"/>
    <col min="8" max="8" width="14.7265625" style="61" customWidth="1"/>
    <col min="9" max="15" width="8.7265625" style="61"/>
    <col min="16" max="16" width="12.81640625" style="61" bestFit="1" customWidth="1"/>
    <col min="17" max="16384" width="8.7265625" style="61"/>
  </cols>
  <sheetData>
    <row r="1" spans="2:18" x14ac:dyDescent="0.4">
      <c r="B1" s="58" t="s">
        <v>0</v>
      </c>
      <c r="C1" s="58"/>
      <c r="D1" s="59"/>
      <c r="E1" s="60"/>
      <c r="F1" s="60"/>
    </row>
    <row r="2" spans="2:18" x14ac:dyDescent="0.4">
      <c r="B2" s="60"/>
      <c r="C2" s="60"/>
      <c r="D2" s="60"/>
      <c r="E2" s="60"/>
      <c r="F2" s="60"/>
    </row>
    <row r="3" spans="2:18" x14ac:dyDescent="0.4">
      <c r="B3" s="62" t="s">
        <v>1</v>
      </c>
      <c r="C3" s="60"/>
      <c r="D3" s="60"/>
      <c r="E3" s="60"/>
      <c r="F3" s="60"/>
    </row>
    <row r="4" spans="2:18" x14ac:dyDescent="0.4">
      <c r="B4" s="60" t="s">
        <v>2</v>
      </c>
      <c r="C4" s="60"/>
      <c r="D4" s="60"/>
      <c r="E4" s="60"/>
      <c r="F4" s="60"/>
    </row>
    <row r="5" spans="2:18" x14ac:dyDescent="0.4">
      <c r="B5" s="60"/>
      <c r="C5" s="60"/>
      <c r="D5" s="60"/>
      <c r="E5" s="60"/>
      <c r="F5" s="60"/>
    </row>
    <row r="6" spans="2:18" x14ac:dyDescent="0.4">
      <c r="B6" s="60"/>
      <c r="C6" s="63" t="s">
        <v>337</v>
      </c>
      <c r="D6" s="60"/>
      <c r="E6" s="60"/>
      <c r="F6" s="60"/>
    </row>
    <row r="7" spans="2:18" x14ac:dyDescent="0.4">
      <c r="B7" s="60"/>
      <c r="C7" s="60" t="s">
        <v>333</v>
      </c>
      <c r="D7" s="60"/>
      <c r="E7" s="60"/>
      <c r="F7" s="60"/>
    </row>
    <row r="8" spans="2:18" x14ac:dyDescent="0.4">
      <c r="B8" s="60"/>
      <c r="C8" s="60"/>
      <c r="D8" s="60"/>
      <c r="E8" s="60"/>
      <c r="F8" s="60"/>
    </row>
    <row r="9" spans="2:18" x14ac:dyDescent="0.4">
      <c r="B9" s="62" t="s">
        <v>3</v>
      </c>
      <c r="C9" s="60"/>
      <c r="D9" s="60"/>
      <c r="E9" s="60"/>
      <c r="F9" s="60"/>
    </row>
    <row r="10" spans="2:18" x14ac:dyDescent="0.4">
      <c r="B10" s="62"/>
      <c r="C10" s="60"/>
      <c r="D10" s="60"/>
      <c r="E10" s="60"/>
      <c r="F10" s="60"/>
    </row>
    <row r="11" spans="2:18" x14ac:dyDescent="0.4">
      <c r="B11" s="60" t="s">
        <v>4</v>
      </c>
      <c r="C11" s="60"/>
      <c r="D11" s="60"/>
      <c r="E11" s="60"/>
      <c r="F11" s="60"/>
    </row>
    <row r="12" spans="2:18" x14ac:dyDescent="0.4">
      <c r="B12" s="60"/>
      <c r="C12" s="60"/>
      <c r="D12" s="60"/>
      <c r="E12" s="60"/>
      <c r="F12" s="60"/>
    </row>
    <row r="13" spans="2:18" x14ac:dyDescent="0.4">
      <c r="B13" s="64"/>
      <c r="C13" s="65" t="s">
        <v>5</v>
      </c>
      <c r="D13" s="60" t="s">
        <v>6</v>
      </c>
      <c r="E13" s="60"/>
      <c r="F13" s="60"/>
      <c r="G13" s="60"/>
      <c r="H13" s="60"/>
      <c r="K13" s="60"/>
    </row>
    <row r="14" spans="2:18" ht="18.649999999999999" customHeight="1" x14ac:dyDescent="0.4">
      <c r="B14" s="64"/>
      <c r="C14" s="65"/>
      <c r="D14" s="504" t="s">
        <v>194</v>
      </c>
      <c r="E14" s="504"/>
      <c r="F14" s="504"/>
      <c r="G14" s="504"/>
      <c r="H14" s="504"/>
      <c r="I14" s="504"/>
      <c r="J14" s="504"/>
      <c r="K14" s="504"/>
      <c r="L14" s="504"/>
      <c r="M14" s="504"/>
      <c r="N14" s="504"/>
      <c r="O14" s="504"/>
      <c r="P14" s="504"/>
      <c r="Q14" s="504"/>
      <c r="R14" s="504"/>
    </row>
    <row r="15" spans="2:18" ht="18.649999999999999" customHeight="1" x14ac:dyDescent="0.4">
      <c r="B15" s="64"/>
      <c r="C15" s="65"/>
      <c r="D15" s="504"/>
      <c r="E15" s="504"/>
      <c r="F15" s="504"/>
      <c r="G15" s="504"/>
      <c r="H15" s="504"/>
      <c r="I15" s="504"/>
      <c r="J15" s="504"/>
      <c r="K15" s="504"/>
      <c r="L15" s="504"/>
      <c r="M15" s="504"/>
      <c r="N15" s="504"/>
      <c r="O15" s="504"/>
      <c r="P15" s="504"/>
      <c r="Q15" s="504"/>
      <c r="R15" s="504"/>
    </row>
    <row r="16" spans="2:18" ht="32" x14ac:dyDescent="0.4">
      <c r="B16" s="64"/>
      <c r="C16" s="65"/>
      <c r="D16" s="67" t="s">
        <v>56</v>
      </c>
      <c r="E16" s="67" t="s">
        <v>57</v>
      </c>
      <c r="F16" s="68" t="s">
        <v>58</v>
      </c>
      <c r="G16" s="69"/>
      <c r="H16" s="69"/>
      <c r="I16" s="69"/>
      <c r="J16" s="69"/>
      <c r="K16" s="69"/>
      <c r="L16" s="69"/>
      <c r="M16" s="69"/>
      <c r="N16" s="69"/>
      <c r="O16" s="69"/>
      <c r="P16" s="69"/>
      <c r="Q16" s="69"/>
      <c r="R16" s="69"/>
    </row>
    <row r="17" spans="2:18" x14ac:dyDescent="0.4">
      <c r="B17" s="64"/>
      <c r="C17" s="65"/>
      <c r="D17" s="70" t="s">
        <v>540</v>
      </c>
      <c r="E17" s="71" t="s">
        <v>189</v>
      </c>
      <c r="F17" s="72">
        <v>0.05</v>
      </c>
      <c r="G17" s="69"/>
      <c r="H17" s="69"/>
      <c r="I17" s="69"/>
      <c r="J17" s="69"/>
      <c r="K17" s="69"/>
      <c r="L17" s="69"/>
      <c r="M17" s="69"/>
      <c r="N17" s="69"/>
      <c r="O17" s="69"/>
      <c r="P17" s="69"/>
      <c r="Q17" s="69"/>
      <c r="R17" s="69"/>
    </row>
    <row r="18" spans="2:18" x14ac:dyDescent="0.4">
      <c r="B18" s="64"/>
      <c r="C18" s="65"/>
      <c r="D18" s="70" t="s">
        <v>528</v>
      </c>
      <c r="E18" s="73" t="s">
        <v>190</v>
      </c>
      <c r="F18" s="72">
        <v>0.3</v>
      </c>
      <c r="G18" s="69"/>
      <c r="H18" s="69"/>
      <c r="I18" s="69"/>
      <c r="J18" s="69"/>
      <c r="K18" s="69"/>
      <c r="L18" s="69"/>
      <c r="M18" s="69"/>
      <c r="N18" s="69"/>
      <c r="O18" s="69"/>
      <c r="P18" s="69"/>
      <c r="Q18" s="69"/>
      <c r="R18" s="69"/>
    </row>
    <row r="19" spans="2:18" x14ac:dyDescent="0.4">
      <c r="B19" s="64"/>
      <c r="C19" s="65"/>
      <c r="D19" s="70" t="s">
        <v>527</v>
      </c>
      <c r="E19" s="74" t="s">
        <v>191</v>
      </c>
      <c r="F19" s="72">
        <v>0.5</v>
      </c>
      <c r="G19" s="69"/>
      <c r="H19" s="69"/>
      <c r="I19" s="69"/>
      <c r="J19" s="69"/>
      <c r="K19" s="69"/>
      <c r="L19" s="69"/>
      <c r="M19" s="69"/>
      <c r="N19" s="69"/>
      <c r="O19" s="69"/>
      <c r="P19" s="69"/>
      <c r="Q19" s="69"/>
      <c r="R19" s="69"/>
    </row>
    <row r="20" spans="2:18" x14ac:dyDescent="0.4">
      <c r="B20" s="64"/>
      <c r="C20" s="65"/>
      <c r="D20" s="70" t="s">
        <v>526</v>
      </c>
      <c r="E20" s="75" t="s">
        <v>192</v>
      </c>
      <c r="F20" s="72">
        <v>0.7</v>
      </c>
      <c r="G20" s="69"/>
      <c r="H20" s="69"/>
      <c r="I20" s="69"/>
      <c r="J20" s="69"/>
      <c r="K20" s="69"/>
      <c r="L20" s="69"/>
      <c r="M20" s="69"/>
      <c r="N20" s="69"/>
      <c r="O20" s="69"/>
      <c r="P20" s="69"/>
      <c r="Q20" s="69"/>
      <c r="R20" s="69"/>
    </row>
    <row r="21" spans="2:18" x14ac:dyDescent="0.4">
      <c r="B21" s="64"/>
      <c r="C21" s="65"/>
      <c r="D21" s="70" t="s">
        <v>525</v>
      </c>
      <c r="E21" s="76" t="s">
        <v>193</v>
      </c>
      <c r="F21" s="72">
        <v>0.9</v>
      </c>
      <c r="G21" s="69"/>
      <c r="H21" s="69"/>
      <c r="I21" s="69"/>
      <c r="J21" s="69"/>
      <c r="K21" s="69"/>
      <c r="L21" s="69"/>
      <c r="M21" s="69"/>
      <c r="N21" s="69"/>
      <c r="O21" s="69"/>
      <c r="P21" s="69"/>
      <c r="Q21" s="69"/>
      <c r="R21" s="69"/>
    </row>
    <row r="22" spans="2:18" x14ac:dyDescent="0.4">
      <c r="B22" s="64"/>
      <c r="C22" s="65"/>
      <c r="F22" s="60"/>
      <c r="G22" s="60"/>
      <c r="H22" s="60"/>
    </row>
    <row r="23" spans="2:18" x14ac:dyDescent="0.4">
      <c r="B23" s="60"/>
      <c r="C23" s="65" t="s">
        <v>7</v>
      </c>
      <c r="D23" s="60" t="s">
        <v>8</v>
      </c>
      <c r="E23" s="60"/>
      <c r="F23" s="60"/>
      <c r="G23" s="60"/>
      <c r="H23" s="60"/>
    </row>
    <row r="24" spans="2:18" x14ac:dyDescent="0.4">
      <c r="B24" s="60"/>
      <c r="C24" s="65"/>
      <c r="D24" s="60"/>
      <c r="E24" s="60"/>
      <c r="F24" s="60"/>
      <c r="G24" s="60"/>
      <c r="H24" s="60"/>
    </row>
    <row r="25" spans="2:18" ht="30" customHeight="1" x14ac:dyDescent="0.4">
      <c r="B25" s="60"/>
      <c r="C25" s="77" t="s">
        <v>9</v>
      </c>
      <c r="D25" s="505" t="s">
        <v>10</v>
      </c>
      <c r="E25" s="505"/>
      <c r="F25" s="505"/>
      <c r="G25" s="505"/>
      <c r="H25" s="505"/>
      <c r="I25" s="505"/>
      <c r="J25" s="505"/>
      <c r="K25" s="505"/>
      <c r="L25" s="505"/>
      <c r="M25" s="505"/>
      <c r="N25" s="505"/>
      <c r="O25" s="505"/>
      <c r="P25" s="505"/>
      <c r="Q25" s="505"/>
      <c r="R25" s="505"/>
    </row>
    <row r="26" spans="2:18" ht="30.65" customHeight="1" x14ac:dyDescent="0.4">
      <c r="C26" s="78" t="s">
        <v>11</v>
      </c>
      <c r="D26" s="505" t="s">
        <v>12</v>
      </c>
      <c r="E26" s="505"/>
      <c r="F26" s="505"/>
      <c r="G26" s="505"/>
      <c r="H26" s="505"/>
      <c r="I26" s="505"/>
      <c r="J26" s="505"/>
      <c r="K26" s="505"/>
      <c r="L26" s="505"/>
      <c r="M26" s="505"/>
      <c r="N26" s="505"/>
      <c r="O26" s="505"/>
      <c r="P26" s="505"/>
      <c r="Q26" s="505"/>
      <c r="R26" s="505"/>
    </row>
    <row r="27" spans="2:18" ht="43" customHeight="1" x14ac:dyDescent="0.4">
      <c r="C27" s="79" t="s">
        <v>13</v>
      </c>
      <c r="D27" s="505" t="s">
        <v>516</v>
      </c>
      <c r="E27" s="505"/>
      <c r="F27" s="505"/>
      <c r="G27" s="505"/>
      <c r="H27" s="505"/>
      <c r="I27" s="505"/>
      <c r="J27" s="505"/>
      <c r="K27" s="505"/>
      <c r="L27" s="505"/>
      <c r="M27" s="505"/>
      <c r="N27" s="505"/>
      <c r="O27" s="505"/>
      <c r="P27" s="505"/>
      <c r="Q27" s="505"/>
      <c r="R27" s="505"/>
    </row>
    <row r="28" spans="2:18" ht="33" customHeight="1" x14ac:dyDescent="0.4">
      <c r="B28" s="60"/>
      <c r="C28" s="65"/>
      <c r="D28" s="80"/>
      <c r="E28" s="80"/>
      <c r="F28" s="80"/>
      <c r="G28" s="80"/>
      <c r="H28" s="80"/>
      <c r="I28" s="80"/>
      <c r="J28" s="80"/>
      <c r="K28" s="80"/>
      <c r="L28" s="80"/>
      <c r="M28" s="80"/>
      <c r="N28" s="80"/>
      <c r="O28" s="80"/>
      <c r="P28" s="80"/>
      <c r="Q28" s="80"/>
      <c r="R28" s="80"/>
    </row>
    <row r="29" spans="2:18" x14ac:dyDescent="0.4">
      <c r="B29" s="60"/>
      <c r="C29" s="65" t="s">
        <v>14</v>
      </c>
      <c r="D29" s="60" t="s">
        <v>15</v>
      </c>
      <c r="E29" s="60"/>
      <c r="F29" s="60"/>
      <c r="G29" s="60"/>
      <c r="H29" s="60"/>
    </row>
    <row r="30" spans="2:18" x14ac:dyDescent="0.4">
      <c r="B30" s="60"/>
      <c r="C30" s="65"/>
      <c r="D30" s="60"/>
      <c r="E30" s="60"/>
      <c r="F30" s="60"/>
      <c r="G30" s="60"/>
      <c r="H30" s="60"/>
    </row>
    <row r="31" spans="2:18" ht="16" customHeight="1" x14ac:dyDescent="0.4">
      <c r="B31" s="60"/>
      <c r="C31" s="81" t="s">
        <v>367</v>
      </c>
      <c r="D31" s="504" t="s">
        <v>517</v>
      </c>
      <c r="E31" s="504"/>
      <c r="F31" s="504"/>
      <c r="G31" s="504"/>
      <c r="H31" s="504"/>
      <c r="I31" s="504"/>
      <c r="J31" s="504"/>
      <c r="K31" s="504"/>
      <c r="L31" s="504"/>
      <c r="M31" s="504"/>
      <c r="N31" s="504"/>
      <c r="O31" s="504"/>
      <c r="P31" s="504"/>
      <c r="Q31" s="504"/>
      <c r="R31" s="504"/>
    </row>
    <row r="32" spans="2:18" x14ac:dyDescent="0.4">
      <c r="B32" s="60"/>
      <c r="C32" s="81"/>
      <c r="D32" s="504"/>
      <c r="E32" s="504"/>
      <c r="F32" s="504"/>
      <c r="G32" s="504"/>
      <c r="H32" s="504"/>
      <c r="I32" s="504"/>
      <c r="J32" s="504"/>
      <c r="K32" s="504"/>
      <c r="L32" s="504"/>
      <c r="M32" s="504"/>
      <c r="N32" s="504"/>
      <c r="O32" s="504"/>
      <c r="P32" s="504"/>
      <c r="Q32" s="504"/>
      <c r="R32" s="504"/>
    </row>
    <row r="33" spans="2:18" x14ac:dyDescent="0.4">
      <c r="B33" s="60"/>
      <c r="C33" s="81"/>
      <c r="D33" s="66"/>
      <c r="E33" s="66"/>
      <c r="F33" s="66"/>
      <c r="G33" s="66"/>
      <c r="H33" s="66"/>
    </row>
    <row r="34" spans="2:18" x14ac:dyDescent="0.4">
      <c r="B34" s="60"/>
      <c r="C34" s="81"/>
      <c r="D34" s="63" t="s">
        <v>535</v>
      </c>
      <c r="E34" s="63"/>
      <c r="F34" s="63"/>
      <c r="G34" s="63"/>
      <c r="H34" s="63"/>
    </row>
    <row r="35" spans="2:18" x14ac:dyDescent="0.4">
      <c r="B35" s="60"/>
      <c r="C35" s="81"/>
      <c r="D35" s="63" t="s">
        <v>534</v>
      </c>
      <c r="E35" s="63"/>
      <c r="F35" s="63"/>
      <c r="G35" s="63"/>
      <c r="H35" s="63"/>
    </row>
    <row r="36" spans="2:18" x14ac:dyDescent="0.4">
      <c r="B36" s="60"/>
      <c r="C36" s="81"/>
      <c r="D36" s="82"/>
      <c r="E36" s="63"/>
      <c r="F36" s="63"/>
      <c r="G36" s="63"/>
      <c r="H36" s="63"/>
      <c r="I36" s="83"/>
      <c r="J36" s="83"/>
      <c r="K36" s="83"/>
      <c r="L36" s="83"/>
      <c r="M36" s="83"/>
      <c r="N36" s="83"/>
      <c r="O36" s="83"/>
      <c r="P36" s="83"/>
      <c r="Q36" s="83"/>
    </row>
    <row r="37" spans="2:18" x14ac:dyDescent="0.4">
      <c r="B37" s="60"/>
      <c r="C37" s="81"/>
      <c r="E37" s="84"/>
      <c r="F37" s="85"/>
      <c r="G37" s="84"/>
      <c r="H37" s="84"/>
      <c r="I37" s="83"/>
      <c r="J37" s="83"/>
      <c r="K37" s="83"/>
      <c r="L37" s="83"/>
      <c r="M37" s="83"/>
      <c r="N37" s="83"/>
      <c r="O37" s="83"/>
      <c r="P37" s="83"/>
      <c r="Q37" s="83"/>
    </row>
    <row r="38" spans="2:18" x14ac:dyDescent="0.4">
      <c r="B38" s="60"/>
      <c r="C38" s="86" t="s">
        <v>368</v>
      </c>
      <c r="D38" s="63" t="s">
        <v>188</v>
      </c>
      <c r="F38" s="60"/>
      <c r="G38" s="60"/>
      <c r="H38" s="60"/>
    </row>
    <row r="39" spans="2:18" x14ac:dyDescent="0.4">
      <c r="B39" s="60"/>
      <c r="C39" s="86"/>
      <c r="D39" s="60" t="s">
        <v>16</v>
      </c>
      <c r="F39" s="60"/>
      <c r="G39" s="60"/>
      <c r="H39" s="60"/>
    </row>
    <row r="40" spans="2:18" x14ac:dyDescent="0.4">
      <c r="B40" s="60"/>
      <c r="C40" s="86"/>
      <c r="E40" s="60"/>
      <c r="F40" s="60"/>
      <c r="G40" s="60"/>
      <c r="H40" s="60"/>
    </row>
    <row r="41" spans="2:18" ht="47.5" customHeight="1" x14ac:dyDescent="0.4">
      <c r="B41" s="60"/>
      <c r="C41" s="86" t="s">
        <v>369</v>
      </c>
      <c r="D41" s="504" t="s">
        <v>536</v>
      </c>
      <c r="E41" s="504"/>
      <c r="F41" s="504"/>
      <c r="G41" s="504"/>
      <c r="H41" s="504"/>
      <c r="I41" s="504"/>
      <c r="J41" s="504"/>
      <c r="K41" s="504"/>
      <c r="L41" s="504"/>
      <c r="M41" s="504"/>
      <c r="N41" s="504"/>
      <c r="O41" s="504"/>
      <c r="P41" s="504"/>
      <c r="Q41" s="504"/>
      <c r="R41" s="504"/>
    </row>
    <row r="42" spans="2:18" x14ac:dyDescent="0.4">
      <c r="B42" s="60"/>
      <c r="C42" s="60"/>
      <c r="D42" s="60" t="s">
        <v>539</v>
      </c>
      <c r="E42" s="63"/>
      <c r="G42" s="60"/>
      <c r="H42" s="60"/>
    </row>
    <row r="43" spans="2:18" x14ac:dyDescent="0.4">
      <c r="B43" s="60"/>
      <c r="C43" s="65"/>
      <c r="D43" s="60" t="s">
        <v>537</v>
      </c>
      <c r="E43" s="63"/>
      <c r="G43" s="87"/>
      <c r="H43" s="87"/>
    </row>
    <row r="44" spans="2:18" x14ac:dyDescent="0.4">
      <c r="B44" s="60"/>
      <c r="C44" s="65"/>
      <c r="D44" s="506" t="s">
        <v>538</v>
      </c>
      <c r="E44" s="506"/>
      <c r="F44" s="506"/>
      <c r="G44" s="506"/>
      <c r="H44" s="506"/>
      <c r="I44" s="506"/>
      <c r="J44" s="506"/>
      <c r="K44" s="506"/>
      <c r="L44" s="506"/>
      <c r="M44" s="506"/>
      <c r="N44" s="506"/>
      <c r="O44" s="506"/>
      <c r="P44" s="506"/>
      <c r="Q44" s="506"/>
      <c r="R44" s="506"/>
    </row>
    <row r="45" spans="2:18" x14ac:dyDescent="0.4">
      <c r="B45" s="60"/>
      <c r="C45" s="65"/>
      <c r="D45" s="60"/>
      <c r="H45" s="60"/>
    </row>
    <row r="46" spans="2:18" x14ac:dyDescent="0.4">
      <c r="B46" s="60"/>
      <c r="C46" s="65" t="s">
        <v>17</v>
      </c>
      <c r="D46" s="60" t="s">
        <v>18</v>
      </c>
      <c r="E46" s="60"/>
      <c r="F46" s="60"/>
      <c r="G46" s="60"/>
      <c r="H46" s="60"/>
    </row>
    <row r="47" spans="2:18" x14ac:dyDescent="0.4">
      <c r="B47" s="60"/>
      <c r="C47" s="65"/>
      <c r="D47" s="60"/>
      <c r="E47" s="60"/>
      <c r="F47" s="60"/>
      <c r="G47" s="60"/>
      <c r="H47" s="60"/>
    </row>
    <row r="48" spans="2:18" x14ac:dyDescent="0.4">
      <c r="B48" s="60"/>
      <c r="C48" s="65" t="s">
        <v>19</v>
      </c>
      <c r="D48" s="63" t="s">
        <v>20</v>
      </c>
      <c r="E48" s="60"/>
      <c r="F48" s="60"/>
      <c r="G48" s="60"/>
      <c r="H48" s="60"/>
    </row>
    <row r="49" spans="2:18" x14ac:dyDescent="0.4">
      <c r="B49" s="60"/>
      <c r="C49" s="65"/>
      <c r="D49" s="60"/>
      <c r="E49" s="60"/>
      <c r="F49" s="60"/>
      <c r="G49" s="60"/>
      <c r="H49" s="60"/>
    </row>
    <row r="50" spans="2:18" x14ac:dyDescent="0.4">
      <c r="B50" s="60"/>
      <c r="C50" s="65" t="s">
        <v>21</v>
      </c>
      <c r="D50" s="60" t="s">
        <v>334</v>
      </c>
      <c r="E50" s="60"/>
      <c r="F50" s="60"/>
      <c r="G50" s="60"/>
      <c r="H50" s="60"/>
    </row>
    <row r="51" spans="2:18" x14ac:dyDescent="0.4">
      <c r="B51" s="60"/>
      <c r="C51" s="65"/>
      <c r="D51" s="60" t="s">
        <v>22</v>
      </c>
      <c r="E51" s="60"/>
      <c r="F51" s="60"/>
      <c r="G51" s="60"/>
      <c r="H51" s="60"/>
    </row>
    <row r="52" spans="2:18" x14ac:dyDescent="0.4">
      <c r="B52" s="60"/>
      <c r="C52" s="65"/>
      <c r="E52" s="60"/>
      <c r="F52" s="60"/>
      <c r="G52" s="60"/>
      <c r="H52" s="60"/>
    </row>
    <row r="53" spans="2:18" ht="32.15" customHeight="1" x14ac:dyDescent="0.4">
      <c r="B53" s="60"/>
      <c r="C53" s="65" t="s">
        <v>23</v>
      </c>
      <c r="D53" s="507" t="s">
        <v>529</v>
      </c>
      <c r="E53" s="507"/>
      <c r="F53" s="507"/>
      <c r="G53" s="507"/>
      <c r="H53" s="507"/>
      <c r="I53" s="507"/>
      <c r="J53" s="507"/>
      <c r="K53" s="507"/>
      <c r="L53" s="507"/>
      <c r="M53" s="507"/>
      <c r="N53" s="507"/>
      <c r="O53" s="507"/>
      <c r="P53" s="507"/>
      <c r="Q53" s="507"/>
      <c r="R53" s="507"/>
    </row>
    <row r="54" spans="2:18" x14ac:dyDescent="0.4">
      <c r="B54" s="60"/>
      <c r="C54" s="65"/>
      <c r="D54" s="60"/>
      <c r="E54" s="60"/>
      <c r="F54" s="60"/>
      <c r="G54" s="60"/>
      <c r="H54" s="60"/>
    </row>
    <row r="55" spans="2:18" x14ac:dyDescent="0.4">
      <c r="B55" s="60"/>
      <c r="C55" s="65"/>
      <c r="D55" s="60"/>
      <c r="E55" s="60"/>
      <c r="F55" s="60"/>
      <c r="G55" s="60"/>
      <c r="H55" s="60"/>
    </row>
    <row r="56" spans="2:18" x14ac:dyDescent="0.4">
      <c r="B56" s="62" t="s">
        <v>24</v>
      </c>
      <c r="C56" s="65"/>
      <c r="D56" s="60"/>
      <c r="E56" s="60"/>
      <c r="F56" s="60"/>
      <c r="G56" s="60"/>
      <c r="H56" s="60"/>
    </row>
    <row r="57" spans="2:18" x14ac:dyDescent="0.4">
      <c r="B57" s="62"/>
      <c r="C57" s="65"/>
      <c r="D57" s="60"/>
      <c r="E57" s="60"/>
      <c r="F57" s="60"/>
      <c r="G57" s="60"/>
      <c r="H57" s="60"/>
    </row>
    <row r="58" spans="2:18" ht="29.15" customHeight="1" x14ac:dyDescent="0.4">
      <c r="C58" s="508" t="s">
        <v>338</v>
      </c>
      <c r="D58" s="504" t="s">
        <v>332</v>
      </c>
      <c r="E58" s="504"/>
      <c r="F58" s="504"/>
      <c r="G58" s="504"/>
      <c r="H58" s="504"/>
      <c r="I58" s="504"/>
      <c r="J58" s="504"/>
      <c r="K58" s="504"/>
      <c r="L58" s="504"/>
      <c r="M58" s="504"/>
      <c r="N58" s="504"/>
      <c r="O58" s="504"/>
      <c r="P58" s="504"/>
      <c r="Q58" s="504"/>
      <c r="R58" s="504"/>
    </row>
    <row r="59" spans="2:18" ht="33.65" customHeight="1" x14ac:dyDescent="0.4">
      <c r="C59" s="508"/>
      <c r="D59" s="504"/>
      <c r="E59" s="504"/>
      <c r="F59" s="504"/>
      <c r="G59" s="504"/>
      <c r="H59" s="504"/>
      <c r="I59" s="504"/>
      <c r="J59" s="504"/>
      <c r="K59" s="504"/>
      <c r="L59" s="504"/>
      <c r="M59" s="504"/>
      <c r="N59" s="504"/>
      <c r="O59" s="504"/>
      <c r="P59" s="504"/>
      <c r="Q59" s="504"/>
      <c r="R59" s="504"/>
    </row>
    <row r="60" spans="2:18" ht="69.650000000000006" customHeight="1" x14ac:dyDescent="0.4">
      <c r="C60" s="88" t="s">
        <v>339</v>
      </c>
      <c r="D60" s="504" t="s">
        <v>340</v>
      </c>
      <c r="E60" s="509"/>
      <c r="F60" s="509"/>
      <c r="G60" s="509"/>
      <c r="H60" s="509"/>
      <c r="I60" s="509"/>
      <c r="J60" s="509"/>
      <c r="K60" s="509"/>
      <c r="L60" s="509"/>
      <c r="M60" s="509"/>
      <c r="N60" s="509"/>
      <c r="O60" s="509"/>
      <c r="P60" s="509"/>
      <c r="Q60" s="509"/>
      <c r="R60" s="509"/>
    </row>
    <row r="61" spans="2:18" x14ac:dyDescent="0.4">
      <c r="B61" s="60"/>
      <c r="C61" s="88"/>
      <c r="D61" s="61" t="s">
        <v>520</v>
      </c>
      <c r="E61" s="63"/>
      <c r="F61" s="63"/>
      <c r="G61" s="63"/>
      <c r="H61" s="63"/>
      <c r="I61" s="69"/>
      <c r="J61" s="69"/>
      <c r="K61" s="69"/>
      <c r="L61" s="69"/>
      <c r="M61" s="69"/>
      <c r="N61" s="69"/>
      <c r="O61" s="69"/>
      <c r="P61" s="69"/>
      <c r="Q61" s="69"/>
      <c r="R61" s="69"/>
    </row>
    <row r="62" spans="2:18" ht="24.65" customHeight="1" x14ac:dyDescent="0.4">
      <c r="B62" s="60"/>
      <c r="C62" s="88"/>
      <c r="D62" s="63"/>
      <c r="E62" s="63"/>
      <c r="F62" s="63"/>
      <c r="G62" s="63"/>
      <c r="H62" s="63"/>
      <c r="I62" s="69"/>
      <c r="J62" s="69"/>
      <c r="K62" s="69"/>
      <c r="L62" s="69"/>
      <c r="M62" s="69"/>
      <c r="N62" s="69"/>
      <c r="O62" s="69"/>
      <c r="P62" s="69"/>
      <c r="Q62" s="69"/>
      <c r="R62" s="69"/>
    </row>
    <row r="63" spans="2:18" x14ac:dyDescent="0.4">
      <c r="B63" s="60"/>
      <c r="C63" s="60"/>
      <c r="D63" s="60"/>
      <c r="E63" s="60"/>
      <c r="F63" s="60"/>
      <c r="G63" s="60"/>
      <c r="H63" s="60"/>
    </row>
    <row r="64" spans="2:18" x14ac:dyDescent="0.4">
      <c r="B64" s="62" t="s">
        <v>25</v>
      </c>
      <c r="C64" s="60"/>
      <c r="D64" s="60"/>
      <c r="E64" s="60"/>
      <c r="F64" s="60"/>
    </row>
    <row r="65" spans="2:17" x14ac:dyDescent="0.4">
      <c r="B65" s="62"/>
      <c r="C65" s="60"/>
      <c r="D65" s="60"/>
      <c r="E65" s="60"/>
      <c r="F65" s="60"/>
    </row>
    <row r="66" spans="2:17" x14ac:dyDescent="0.4">
      <c r="B66" s="60" t="s">
        <v>26</v>
      </c>
      <c r="C66" s="60"/>
      <c r="D66" s="60"/>
      <c r="E66" s="60"/>
      <c r="F66" s="60"/>
    </row>
    <row r="67" spans="2:17" x14ac:dyDescent="0.4">
      <c r="B67" s="60"/>
      <c r="C67" s="60"/>
      <c r="D67" s="60"/>
      <c r="E67" s="60"/>
      <c r="F67" s="60"/>
    </row>
    <row r="68" spans="2:17" x14ac:dyDescent="0.4">
      <c r="B68" s="65" t="s">
        <v>27</v>
      </c>
      <c r="C68" s="60"/>
      <c r="D68" s="60"/>
      <c r="E68" s="60"/>
      <c r="F68" s="60"/>
    </row>
    <row r="69" spans="2:17" x14ac:dyDescent="0.4">
      <c r="B69" s="503" t="s">
        <v>335</v>
      </c>
      <c r="C69" s="503"/>
      <c r="D69" s="503"/>
      <c r="E69" s="503"/>
      <c r="F69" s="503"/>
      <c r="G69" s="503"/>
      <c r="H69" s="503"/>
      <c r="I69" s="503"/>
      <c r="J69" s="503"/>
      <c r="K69" s="503"/>
      <c r="L69" s="503"/>
      <c r="M69" s="503"/>
      <c r="N69" s="503"/>
      <c r="O69" s="503"/>
      <c r="P69" s="503"/>
      <c r="Q69" s="503"/>
    </row>
    <row r="70" spans="2:17" x14ac:dyDescent="0.4">
      <c r="B70" s="60"/>
      <c r="C70" s="60"/>
      <c r="D70" s="60"/>
      <c r="E70" s="60"/>
      <c r="F70" s="60"/>
    </row>
    <row r="71" spans="2:17" ht="16.5" thickBot="1" x14ac:dyDescent="0.45">
      <c r="B71" s="60"/>
      <c r="C71" s="60"/>
      <c r="D71" s="89" t="s">
        <v>28</v>
      </c>
      <c r="E71" s="90" t="s">
        <v>29</v>
      </c>
      <c r="F71" s="60"/>
    </row>
    <row r="72" spans="2:17" x14ac:dyDescent="0.4">
      <c r="B72" s="91"/>
      <c r="C72" s="92" t="s">
        <v>30</v>
      </c>
      <c r="D72" s="93" t="s">
        <v>521</v>
      </c>
      <c r="E72" s="94" t="s">
        <v>31</v>
      </c>
      <c r="F72" s="95"/>
      <c r="G72" s="96"/>
      <c r="H72" s="96"/>
      <c r="I72" s="96"/>
      <c r="J72" s="96"/>
      <c r="K72" s="96"/>
      <c r="L72" s="96"/>
      <c r="M72" s="97"/>
    </row>
    <row r="73" spans="2:17" x14ac:dyDescent="0.4">
      <c r="B73" s="98"/>
      <c r="C73" s="99" t="s">
        <v>32</v>
      </c>
      <c r="D73" s="100" t="s">
        <v>522</v>
      </c>
      <c r="E73" s="101" t="s">
        <v>33</v>
      </c>
      <c r="F73" s="60"/>
      <c r="M73" s="102"/>
    </row>
    <row r="74" spans="2:17" x14ac:dyDescent="0.4">
      <c r="B74" s="103"/>
      <c r="C74" s="99" t="s">
        <v>34</v>
      </c>
      <c r="D74" s="104" t="s">
        <v>523</v>
      </c>
      <c r="E74" s="101" t="s">
        <v>35</v>
      </c>
      <c r="F74" s="60"/>
      <c r="M74" s="102"/>
    </row>
    <row r="75" spans="2:17" ht="16.5" thickBot="1" x14ac:dyDescent="0.45">
      <c r="B75" s="105"/>
      <c r="C75" s="106" t="s">
        <v>36</v>
      </c>
      <c r="D75" s="107" t="s">
        <v>524</v>
      </c>
      <c r="E75" s="108" t="s">
        <v>37</v>
      </c>
      <c r="F75" s="109"/>
      <c r="G75" s="110"/>
      <c r="H75" s="110"/>
      <c r="I75" s="110"/>
      <c r="J75" s="110"/>
      <c r="K75" s="110"/>
      <c r="L75" s="110"/>
      <c r="M75" s="111"/>
    </row>
    <row r="76" spans="2:17" x14ac:dyDescent="0.4">
      <c r="B76" s="60"/>
      <c r="C76" s="60"/>
      <c r="D76" s="60"/>
      <c r="E76" s="60"/>
      <c r="F76" s="60"/>
    </row>
    <row r="77" spans="2:17" x14ac:dyDescent="0.4">
      <c r="B77" s="65" t="s">
        <v>23</v>
      </c>
      <c r="C77" s="60"/>
      <c r="D77" s="60"/>
      <c r="E77" s="60"/>
      <c r="F77" s="60"/>
    </row>
    <row r="78" spans="2:17" x14ac:dyDescent="0.4">
      <c r="B78" s="60" t="s">
        <v>336</v>
      </c>
      <c r="C78" s="60"/>
      <c r="D78" s="60"/>
      <c r="E78" s="60"/>
      <c r="F78" s="60"/>
    </row>
    <row r="79" spans="2:17" ht="16.5" thickBot="1" x14ac:dyDescent="0.45">
      <c r="B79" s="60"/>
      <c r="C79" s="60"/>
      <c r="D79" s="89" t="s">
        <v>38</v>
      </c>
      <c r="E79" s="90" t="s">
        <v>29</v>
      </c>
      <c r="F79" s="60"/>
    </row>
    <row r="80" spans="2:17" x14ac:dyDescent="0.4">
      <c r="B80" s="91"/>
      <c r="C80" s="92" t="s">
        <v>30</v>
      </c>
      <c r="D80" s="112" t="s">
        <v>531</v>
      </c>
      <c r="E80" s="94" t="s">
        <v>39</v>
      </c>
      <c r="F80" s="95"/>
      <c r="G80" s="96"/>
      <c r="H80" s="96"/>
      <c r="I80" s="96"/>
      <c r="J80" s="96"/>
      <c r="K80" s="96"/>
      <c r="L80" s="96"/>
      <c r="M80" s="97"/>
    </row>
    <row r="81" spans="2:13" x14ac:dyDescent="0.4">
      <c r="B81" s="98"/>
      <c r="C81" s="99" t="s">
        <v>32</v>
      </c>
      <c r="D81" s="113" t="s">
        <v>518</v>
      </c>
      <c r="E81" s="101" t="s">
        <v>40</v>
      </c>
      <c r="F81" s="60"/>
      <c r="M81" s="102"/>
    </row>
    <row r="82" spans="2:13" x14ac:dyDescent="0.4">
      <c r="B82" s="103"/>
      <c r="C82" s="99" t="s">
        <v>34</v>
      </c>
      <c r="D82" s="113" t="s">
        <v>519</v>
      </c>
      <c r="E82" s="101" t="s">
        <v>41</v>
      </c>
      <c r="F82" s="60"/>
      <c r="M82" s="102"/>
    </row>
    <row r="83" spans="2:13" ht="16.5" thickBot="1" x14ac:dyDescent="0.45">
      <c r="B83" s="105"/>
      <c r="C83" s="106" t="s">
        <v>36</v>
      </c>
      <c r="D83" s="114" t="s">
        <v>530</v>
      </c>
      <c r="E83" s="108" t="s">
        <v>42</v>
      </c>
      <c r="F83" s="109"/>
      <c r="G83" s="110"/>
      <c r="H83" s="110"/>
      <c r="I83" s="110"/>
      <c r="J83" s="110"/>
      <c r="K83" s="110"/>
      <c r="L83" s="110"/>
      <c r="M83" s="111"/>
    </row>
    <row r="84" spans="2:13" x14ac:dyDescent="0.4">
      <c r="B84" s="60"/>
      <c r="C84" s="60"/>
      <c r="D84" s="60"/>
      <c r="E84" s="60"/>
      <c r="F84" s="60"/>
    </row>
  </sheetData>
  <mergeCells count="12">
    <mergeCell ref="B69:Q69"/>
    <mergeCell ref="D14:R15"/>
    <mergeCell ref="D25:R25"/>
    <mergeCell ref="D26:R26"/>
    <mergeCell ref="D58:R59"/>
    <mergeCell ref="D27:R27"/>
    <mergeCell ref="D31:R32"/>
    <mergeCell ref="D41:R41"/>
    <mergeCell ref="D44:R44"/>
    <mergeCell ref="D53:R53"/>
    <mergeCell ref="C58:C59"/>
    <mergeCell ref="D60:R60"/>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1B0B5-C3A6-4513-9FD2-3F82D5F4D02A}">
  <sheetPr codeName="Sheet2"/>
  <dimension ref="B3:D22"/>
  <sheetViews>
    <sheetView topLeftCell="A2" zoomScale="55" zoomScaleNormal="55" workbookViewId="0">
      <selection activeCell="E3" sqref="E3"/>
    </sheetView>
  </sheetViews>
  <sheetFormatPr defaultRowHeight="14.5" x14ac:dyDescent="0.35"/>
  <cols>
    <col min="2" max="2" width="25.1796875" customWidth="1"/>
  </cols>
  <sheetData>
    <row r="3" spans="2:4" x14ac:dyDescent="0.35">
      <c r="D3" t="s">
        <v>129</v>
      </c>
    </row>
    <row r="4" spans="2:4" x14ac:dyDescent="0.35">
      <c r="B4" s="1">
        <v>0</v>
      </c>
      <c r="D4" t="s">
        <v>130</v>
      </c>
    </row>
    <row r="5" spans="2:4" x14ac:dyDescent="0.35">
      <c r="B5" s="1">
        <v>1</v>
      </c>
    </row>
    <row r="6" spans="2:4" x14ac:dyDescent="0.35">
      <c r="B6" s="1">
        <v>2</v>
      </c>
    </row>
    <row r="7" spans="2:4" x14ac:dyDescent="0.35">
      <c r="B7" s="1"/>
    </row>
    <row r="8" spans="2:4" x14ac:dyDescent="0.35">
      <c r="B8" s="1"/>
    </row>
    <row r="9" spans="2:4" x14ac:dyDescent="0.35">
      <c r="B9" s="2">
        <v>0</v>
      </c>
    </row>
    <row r="10" spans="2:4" x14ac:dyDescent="0.35">
      <c r="B10" s="2">
        <v>0.1</v>
      </c>
    </row>
    <row r="11" spans="2:4" x14ac:dyDescent="0.35">
      <c r="B11" s="2">
        <v>0.2</v>
      </c>
    </row>
    <row r="12" spans="2:4" x14ac:dyDescent="0.35">
      <c r="B12" s="2">
        <v>0.3</v>
      </c>
    </row>
    <row r="13" spans="2:4" x14ac:dyDescent="0.35">
      <c r="B13" s="2">
        <v>0.4</v>
      </c>
    </row>
    <row r="14" spans="2:4" x14ac:dyDescent="0.35">
      <c r="B14" s="2">
        <v>0.5</v>
      </c>
    </row>
    <row r="15" spans="2:4" x14ac:dyDescent="0.35">
      <c r="B15" s="2">
        <v>0.6</v>
      </c>
    </row>
    <row r="17" spans="2:2" x14ac:dyDescent="0.35">
      <c r="B17" s="2">
        <v>0</v>
      </c>
    </row>
    <row r="18" spans="2:2" x14ac:dyDescent="0.35">
      <c r="B18" s="2">
        <v>0.25</v>
      </c>
    </row>
    <row r="19" spans="2:2" x14ac:dyDescent="0.35">
      <c r="B19" s="2">
        <v>1</v>
      </c>
    </row>
    <row r="21" spans="2:2" ht="143" x14ac:dyDescent="0.35">
      <c r="B21" s="3" t="s">
        <v>131</v>
      </c>
    </row>
    <row r="22" spans="2:2" ht="143" x14ac:dyDescent="0.35">
      <c r="B22" s="3" t="s">
        <v>132</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2C655-F1BC-4C79-8939-4506C1089E2C}">
  <dimension ref="A1:AI78"/>
  <sheetViews>
    <sheetView showGridLines="0" zoomScale="25" zoomScaleNormal="25" workbookViewId="0">
      <selection activeCell="X19" sqref="X19:X23"/>
    </sheetView>
  </sheetViews>
  <sheetFormatPr defaultColWidth="8.7265625" defaultRowHeight="18.5" x14ac:dyDescent="0.45"/>
  <cols>
    <col min="1" max="3" width="8.7265625" style="115"/>
    <col min="4" max="4" width="22" style="239" customWidth="1"/>
    <col min="5" max="5" width="136.453125" style="115" customWidth="1"/>
    <col min="6" max="6" width="6.7265625" style="115" customWidth="1"/>
    <col min="7" max="7" width="8.7265625" style="115" customWidth="1"/>
    <col min="8" max="8" width="8.7265625" style="115" hidden="1" customWidth="1"/>
    <col min="9" max="9" width="10.81640625" style="115" hidden="1" customWidth="1"/>
    <col min="10" max="10" width="8.7265625" style="115" customWidth="1"/>
    <col min="11" max="12" width="8.7265625" style="115" hidden="1" customWidth="1"/>
    <col min="13" max="13" width="8.7265625" style="115" customWidth="1"/>
    <col min="14" max="15" width="8.7265625" style="115" hidden="1" customWidth="1"/>
    <col min="16" max="16" width="8.7265625" style="115" customWidth="1"/>
    <col min="17" max="18" width="8.7265625" style="115" hidden="1" customWidth="1"/>
    <col min="19" max="19" width="13.7265625" style="115" customWidth="1"/>
    <col min="20" max="20" width="24.81640625" style="115" hidden="1" customWidth="1"/>
    <col min="21" max="21" width="21.36328125" style="115" hidden="1" customWidth="1"/>
    <col min="22" max="22" width="22.81640625" style="115" customWidth="1"/>
    <col min="23" max="23" width="31.81640625" style="115" customWidth="1"/>
    <col min="24" max="24" width="24" style="115" customWidth="1"/>
    <col min="25" max="25" width="19.26953125" style="115" customWidth="1"/>
    <col min="26" max="26" width="30.26953125" style="118" customWidth="1"/>
    <col min="27" max="27" width="18.81640625" style="119" customWidth="1"/>
    <col min="28" max="28" width="84.54296875" style="115" customWidth="1"/>
    <col min="29" max="29" width="34.26953125" style="120" customWidth="1"/>
    <col min="30" max="30" width="20.7265625" style="120" customWidth="1"/>
    <col min="31" max="31" width="23.26953125" style="121" customWidth="1"/>
    <col min="32" max="32" width="23" style="115" customWidth="1"/>
    <col min="33" max="33" width="24.1796875" style="115" customWidth="1"/>
    <col min="34" max="16384" width="8.7265625" style="115"/>
  </cols>
  <sheetData>
    <row r="1" spans="3:33" x14ac:dyDescent="0.45">
      <c r="D1" s="513" t="s">
        <v>343</v>
      </c>
      <c r="E1" s="513"/>
      <c r="F1" s="117"/>
      <c r="G1" s="117"/>
      <c r="H1" s="117"/>
    </row>
    <row r="2" spans="3:33" x14ac:dyDescent="0.45">
      <c r="D2" s="115"/>
      <c r="G2" s="122" t="s">
        <v>43</v>
      </c>
      <c r="H2" s="117"/>
    </row>
    <row r="3" spans="3:33" x14ac:dyDescent="0.45">
      <c r="D3" s="123" t="s">
        <v>43</v>
      </c>
      <c r="E3" s="523" t="s">
        <v>427</v>
      </c>
      <c r="F3" s="523"/>
      <c r="G3" s="9" t="s">
        <v>80</v>
      </c>
      <c r="H3" s="117"/>
    </row>
    <row r="4" spans="3:33" x14ac:dyDescent="0.45">
      <c r="D4" s="115"/>
      <c r="F4" s="117"/>
      <c r="G4" s="117"/>
      <c r="H4" s="117"/>
    </row>
    <row r="5" spans="3:33" x14ac:dyDescent="0.45">
      <c r="D5" s="513" t="s">
        <v>45</v>
      </c>
      <c r="E5" s="513"/>
      <c r="F5" s="117"/>
      <c r="G5" s="117"/>
      <c r="H5" s="117"/>
    </row>
    <row r="6" spans="3:33" x14ac:dyDescent="0.45">
      <c r="D6" s="116"/>
      <c r="E6" s="116"/>
      <c r="F6" s="117"/>
      <c r="G6" s="117"/>
      <c r="H6" s="117"/>
    </row>
    <row r="7" spans="3:33" x14ac:dyDescent="0.45">
      <c r="D7" s="115"/>
      <c r="G7" s="122" t="s">
        <v>46</v>
      </c>
      <c r="H7" s="117"/>
      <c r="I7" s="117"/>
    </row>
    <row r="8" spans="3:33" ht="117.65" customHeight="1" x14ac:dyDescent="0.45">
      <c r="D8" s="123" t="s">
        <v>46</v>
      </c>
      <c r="E8" s="524" t="s">
        <v>506</v>
      </c>
      <c r="F8" s="524"/>
      <c r="G8" s="9" t="s">
        <v>80</v>
      </c>
      <c r="H8" s="124" t="e">
        <f>VLOOKUP(G8,$B$50:$C$51,2,0)</f>
        <v>#N/A</v>
      </c>
      <c r="I8" s="124">
        <v>3</v>
      </c>
    </row>
    <row r="9" spans="3:33" x14ac:dyDescent="0.45">
      <c r="D9" s="125"/>
      <c r="E9" s="126"/>
      <c r="F9" s="127"/>
      <c r="G9" s="117"/>
      <c r="H9" s="117"/>
    </row>
    <row r="10" spans="3:33" x14ac:dyDescent="0.45">
      <c r="D10" s="514" t="s">
        <v>47</v>
      </c>
      <c r="E10" s="514"/>
      <c r="F10" s="127"/>
      <c r="G10" s="117"/>
      <c r="H10" s="117"/>
    </row>
    <row r="11" spans="3:33" x14ac:dyDescent="0.45">
      <c r="D11" s="125"/>
      <c r="E11" s="126"/>
      <c r="F11" s="127"/>
      <c r="G11" s="117"/>
      <c r="H11" s="117"/>
    </row>
    <row r="12" spans="3:33" ht="47" customHeight="1" x14ac:dyDescent="0.45">
      <c r="D12" s="128" t="s">
        <v>48</v>
      </c>
      <c r="E12" s="524" t="s">
        <v>49</v>
      </c>
      <c r="F12" s="524"/>
      <c r="G12" s="129"/>
      <c r="H12" s="129"/>
      <c r="M12" s="117"/>
    </row>
    <row r="13" spans="3:33" ht="116" customHeight="1" x14ac:dyDescent="0.45">
      <c r="D13" s="130" t="s">
        <v>50</v>
      </c>
      <c r="E13" s="524" t="s">
        <v>533</v>
      </c>
      <c r="F13" s="524"/>
      <c r="G13" s="129"/>
      <c r="H13" s="129"/>
    </row>
    <row r="14" spans="3:33" ht="112.5" customHeight="1" x14ac:dyDescent="0.45">
      <c r="D14" s="131" t="s">
        <v>51</v>
      </c>
      <c r="E14" s="524" t="s">
        <v>363</v>
      </c>
      <c r="F14" s="524"/>
      <c r="G14" s="129"/>
      <c r="H14" s="129"/>
    </row>
    <row r="15" spans="3:33" ht="76.5" customHeight="1" x14ac:dyDescent="0.45">
      <c r="D15" s="132" t="s">
        <v>52</v>
      </c>
      <c r="E15" s="524" t="s">
        <v>53</v>
      </c>
      <c r="F15" s="524"/>
      <c r="G15" s="129"/>
      <c r="H15" s="129"/>
    </row>
    <row r="16" spans="3:33" x14ac:dyDescent="0.45">
      <c r="C16" s="117"/>
      <c r="D16" s="133"/>
      <c r="E16" s="117"/>
      <c r="F16" s="117"/>
      <c r="G16" s="117"/>
      <c r="H16" s="117"/>
      <c r="I16" s="117"/>
      <c r="J16" s="117"/>
      <c r="K16" s="117"/>
      <c r="L16" s="117"/>
      <c r="M16" s="117"/>
      <c r="N16" s="117"/>
      <c r="O16" s="117"/>
      <c r="P16" s="117"/>
      <c r="Q16" s="117"/>
      <c r="R16" s="117"/>
      <c r="S16" s="117"/>
      <c r="T16" s="117"/>
      <c r="U16" s="117"/>
      <c r="V16" s="117"/>
      <c r="W16" s="117"/>
      <c r="X16" s="117"/>
      <c r="Y16" s="117"/>
      <c r="Z16" s="134"/>
      <c r="AA16" s="117"/>
      <c r="AC16" s="117"/>
      <c r="AD16" s="117"/>
      <c r="AF16" s="117"/>
      <c r="AG16" s="117"/>
    </row>
    <row r="17" spans="2:35" ht="19" thickBot="1" x14ac:dyDescent="0.5">
      <c r="C17" s="117"/>
      <c r="D17" s="133"/>
      <c r="E17" s="117"/>
      <c r="F17" s="117"/>
      <c r="G17" s="117"/>
      <c r="H17" s="117"/>
      <c r="I17" s="117"/>
      <c r="J17" s="117"/>
      <c r="K17" s="117"/>
      <c r="L17" s="117"/>
      <c r="M17" s="117"/>
      <c r="N17" s="117"/>
      <c r="O17" s="117"/>
      <c r="P17" s="117"/>
      <c r="Q17" s="117"/>
      <c r="R17" s="117"/>
      <c r="S17" s="117"/>
      <c r="T17" s="117"/>
      <c r="U17" s="117"/>
      <c r="V17" s="117"/>
      <c r="W17" s="117"/>
      <c r="AA17" s="135"/>
      <c r="AC17" s="117"/>
      <c r="AD17" s="117"/>
    </row>
    <row r="18" spans="2:35" ht="56" thickBot="1" x14ac:dyDescent="0.5">
      <c r="C18" s="515" t="s">
        <v>364</v>
      </c>
      <c r="D18" s="517"/>
      <c r="E18" s="515" t="s">
        <v>341</v>
      </c>
      <c r="F18" s="516"/>
      <c r="G18" s="137" t="s">
        <v>48</v>
      </c>
      <c r="H18" s="138"/>
      <c r="I18" s="138"/>
      <c r="J18" s="139" t="s">
        <v>50</v>
      </c>
      <c r="K18" s="138"/>
      <c r="L18" s="138"/>
      <c r="M18" s="136" t="s">
        <v>51</v>
      </c>
      <c r="N18" s="138"/>
      <c r="O18" s="138"/>
      <c r="P18" s="140" t="s">
        <v>52</v>
      </c>
      <c r="Q18" s="141"/>
      <c r="R18" s="142"/>
      <c r="S18" s="143" t="s">
        <v>54</v>
      </c>
      <c r="T18" s="138" t="s">
        <v>55</v>
      </c>
      <c r="U18" s="138" t="s">
        <v>56</v>
      </c>
      <c r="V18" s="138" t="s">
        <v>57</v>
      </c>
      <c r="W18" s="144" t="s">
        <v>58</v>
      </c>
      <c r="X18" s="145" t="s">
        <v>508</v>
      </c>
      <c r="Y18" s="146" t="s">
        <v>546</v>
      </c>
      <c r="Z18" s="147" t="s">
        <v>532</v>
      </c>
      <c r="AA18" s="148" t="s">
        <v>59</v>
      </c>
      <c r="AB18" s="149" t="s">
        <v>17</v>
      </c>
      <c r="AC18" s="521" t="s">
        <v>509</v>
      </c>
      <c r="AD18" s="522"/>
      <c r="AE18" s="151" t="s">
        <v>60</v>
      </c>
      <c r="AF18" s="151" t="s">
        <v>61</v>
      </c>
      <c r="AG18" s="152" t="s">
        <v>62</v>
      </c>
    </row>
    <row r="19" spans="2:35" ht="259" x14ac:dyDescent="0.45">
      <c r="B19" s="534" t="s">
        <v>197</v>
      </c>
      <c r="C19" s="525">
        <v>1</v>
      </c>
      <c r="D19" s="528" t="s">
        <v>143</v>
      </c>
      <c r="E19" s="154" t="s">
        <v>344</v>
      </c>
      <c r="F19" s="155" t="s">
        <v>63</v>
      </c>
      <c r="G19" s="35" t="s">
        <v>80</v>
      </c>
      <c r="H19" s="157" t="e">
        <f t="shared" ref="H19:H37" si="0">VLOOKUP(G19,$B$54:$C$55,2,0)</f>
        <v>#N/A</v>
      </c>
      <c r="I19" s="158">
        <v>2</v>
      </c>
      <c r="J19" s="10" t="s">
        <v>80</v>
      </c>
      <c r="K19" s="157" t="e">
        <f t="shared" ref="K19:K37" si="1">VLOOKUP(J19,$B$58:$C$59,2,0)</f>
        <v>#N/A</v>
      </c>
      <c r="L19" s="158">
        <v>1</v>
      </c>
      <c r="M19" s="10" t="s">
        <v>80</v>
      </c>
      <c r="N19" s="157" t="e">
        <f t="shared" ref="N19:N37" si="2">VLOOKUP(M19,$B$63:$C$64,2,0)</f>
        <v>#N/A</v>
      </c>
      <c r="O19" s="158">
        <v>2</v>
      </c>
      <c r="P19" s="10" t="s">
        <v>80</v>
      </c>
      <c r="Q19" s="157" t="e">
        <f t="shared" ref="Q19:Q37" si="3">VLOOKUP(P19,$B$54:$C$55,2,0)</f>
        <v>#N/A</v>
      </c>
      <c r="R19" s="159">
        <v>2</v>
      </c>
      <c r="S19" s="156" t="str">
        <f>IF($G$3="NO","No aplica", IF($G$3="-","-", IF($G$8="-","-",IF(G19="-","-",IF(J19="-","-",IF(M19="-","-",IF(P19="-","-",SUM($H$8,H19,K19,N19,Q19))))))))</f>
        <v>-</v>
      </c>
      <c r="T19" s="157">
        <f t="shared" ref="T19:T37" si="4">SUM($I$8,I19,L19,O19,R19)</f>
        <v>10</v>
      </c>
      <c r="U19" s="18" t="str">
        <f>IF(S19="-","Pendiente",IF(S19="No aplica","No aplica",+S19/T19))</f>
        <v>Pendiente</v>
      </c>
      <c r="V19" s="11" t="str">
        <f>IF(COUNTIF(U19:U37, "Pendiente") &gt; 0,"Pendiente",IF(U19="No aplica","No aplica",IF(U19&gt;=100%,"Muy Bajo",IF(U19&gt;=80%,"Bajo",IF(U19&gt;=60%,"Medio",IF(U19&gt;=40%,"Alto","Muy Alto"))))))</f>
        <v>Pendiente</v>
      </c>
      <c r="W19" s="160" t="str">
        <f t="shared" ref="W19:W37" si="5">+IF($G$3="No","No aplica",IF(V19="Pendiente","Pendiente",IF(V19="Muy Bajo",5%,IF(V19="Bajo",30%,IF(V19="Medio",50%,IF(V19="Alto",70%,90%))))))</f>
        <v>Pendiente</v>
      </c>
      <c r="X19" s="518">
        <v>1</v>
      </c>
      <c r="Y19" s="12" t="str">
        <f>+W19</f>
        <v>Pendiente</v>
      </c>
      <c r="Z19" s="161">
        <v>1</v>
      </c>
      <c r="AA19" s="531" t="str">
        <f>IF($G$3="No","No aplica",+IF(COUNTIF(Y19:Y23,"Pendiente")&gt;0,"Pendiente",AVERAGE(3*Y19*1.5,3*Y20*1.5,3*Y21*1.5,3*Y22*1.5,3*Y23*1.5)))</f>
        <v>Pendiente</v>
      </c>
      <c r="AB19" s="162" t="s">
        <v>319</v>
      </c>
      <c r="AC19" s="163" t="str">
        <f>IF($G$3="No","No aplica",IF(OR($G$8="-",G19="-",J19="-",M19="-",P19="-"),"Pendiente",IF(AND(G19="No",J19="Sí",M19="Sí",P19="No"),"En la siguiente columna responda NO","Responda a la pregunta en la siguiente columna ----&gt;")))</f>
        <v>Pendiente</v>
      </c>
      <c r="AD19" s="244"/>
      <c r="AE19" s="164" t="str">
        <f>+IF(Y19="No aplica","No aplica",+IF(AND(AC19="En la siguiente columna responda NO",AD19="No"),Y19,IF(AND(AC19="En la siguiente columna responda NO",AD19="Sí"),"Responda No en la pregunta anterior",IF(AD19="SÍ",Y19/2,Y19))))</f>
        <v>Pendiente</v>
      </c>
      <c r="AF19" s="510" t="str">
        <f>IF($G$3="No","No aplica",+IF(AA19="Pendiente","Pendiente",IF(COUNTIF(AD19:AD37,"")&gt;0,"Pendiente",AVERAGE(3*AE19*1.5,3*AE20*1.5,3*AE21*1.5,3*AE22*1.5,3*AE23*1.5))))</f>
        <v>Pendiente</v>
      </c>
      <c r="AG19" s="240"/>
      <c r="AI19" s="118"/>
    </row>
    <row r="20" spans="2:35" ht="148" x14ac:dyDescent="0.45">
      <c r="B20" s="535"/>
      <c r="C20" s="526"/>
      <c r="D20" s="529"/>
      <c r="E20" s="166" t="s">
        <v>345</v>
      </c>
      <c r="F20" s="167" t="s">
        <v>83</v>
      </c>
      <c r="G20" s="36" t="s">
        <v>80</v>
      </c>
      <c r="H20" s="124" t="e">
        <f t="shared" si="0"/>
        <v>#N/A</v>
      </c>
      <c r="I20" s="169">
        <v>2</v>
      </c>
      <c r="J20" s="9" t="s">
        <v>80</v>
      </c>
      <c r="K20" s="124" t="e">
        <f t="shared" si="1"/>
        <v>#N/A</v>
      </c>
      <c r="L20" s="169">
        <v>1</v>
      </c>
      <c r="M20" s="9" t="s">
        <v>80</v>
      </c>
      <c r="N20" s="124" t="e">
        <f t="shared" si="2"/>
        <v>#N/A</v>
      </c>
      <c r="O20" s="169">
        <v>2</v>
      </c>
      <c r="P20" s="9" t="s">
        <v>80</v>
      </c>
      <c r="Q20" s="124" t="e">
        <f t="shared" si="3"/>
        <v>#N/A</v>
      </c>
      <c r="R20" s="170">
        <v>2</v>
      </c>
      <c r="S20" s="168" t="str">
        <f>IF($G$3="NO","No aplica",IF($G$3="NO","-",IF($G$3="-","-",IF($G$8="-","-",IF(G20="-","-",IF(J20="-","-",IF(M20="-","-",IF(P20="-","-",SUM($H$8,H20,K20,N20,Q20)))))))))</f>
        <v>-</v>
      </c>
      <c r="T20" s="124">
        <f t="shared" si="4"/>
        <v>10</v>
      </c>
      <c r="U20" s="28" t="str">
        <f>IF(S20="-","Pendiente",IF(S20="No aplica","No aplica",+S20/T20))</f>
        <v>Pendiente</v>
      </c>
      <c r="V20" s="13" t="str">
        <f>IF(COUNTIF(U19:U37, "Pendiente") &gt; 0,"Pendiente",IF(U20="No aplica","No aplica",IF(U20&gt;=100%,"Muy Bajo",IF(U20&gt;=80%,"Bajo",IF(U20&gt;=60%,"Medio",IF(U20&gt;=40%,"Alto","Muy Alto"))))))</f>
        <v>Pendiente</v>
      </c>
      <c r="W20" s="171" t="str">
        <f t="shared" si="5"/>
        <v>Pendiente</v>
      </c>
      <c r="X20" s="519"/>
      <c r="Y20" s="14" t="str">
        <f>+W20</f>
        <v>Pendiente</v>
      </c>
      <c r="Z20" s="172">
        <v>1</v>
      </c>
      <c r="AA20" s="532"/>
      <c r="AB20" s="173" t="s">
        <v>320</v>
      </c>
      <c r="AC20" s="174" t="str">
        <f t="shared" ref="AC20:AC37" si="6">IF($G$3="No","No aplica",IF(OR($G$8="-",G20="-",J20="-",M20="-",P20="-"),"Pendiente",IF(AND(G20="No",J20="Sí",M20="Sí",P20="No"),"En la siguiente columna responda NO", "Responda a la pregunta en la siguiente columna ----&gt;")))</f>
        <v>Pendiente</v>
      </c>
      <c r="AD20" s="245"/>
      <c r="AE20" s="175" t="str">
        <f t="shared" ref="AE20:AE37" si="7">+IF(Y20="No aplica","No aplica",+IF(AND(AC20="En la siguiente columna responda NO",AD20="No"),Y20,IF(AND(AC20="En la siguiente columna responda NO",AD20="Sí"),"Responda No en la pregunta anterior",IF(AD20="SÍ",Y20/2,Y20))))</f>
        <v>Pendiente</v>
      </c>
      <c r="AF20" s="512"/>
      <c r="AG20" s="241"/>
      <c r="AI20" s="118"/>
    </row>
    <row r="21" spans="2:35" ht="182.15" customHeight="1" x14ac:dyDescent="0.45">
      <c r="B21" s="535"/>
      <c r="C21" s="526"/>
      <c r="D21" s="529"/>
      <c r="E21" s="166" t="s">
        <v>346</v>
      </c>
      <c r="F21" s="167" t="s">
        <v>84</v>
      </c>
      <c r="G21" s="36" t="s">
        <v>80</v>
      </c>
      <c r="H21" s="124" t="e">
        <f t="shared" si="0"/>
        <v>#N/A</v>
      </c>
      <c r="I21" s="169">
        <v>2</v>
      </c>
      <c r="J21" s="9" t="s">
        <v>80</v>
      </c>
      <c r="K21" s="124" t="e">
        <f t="shared" si="1"/>
        <v>#N/A</v>
      </c>
      <c r="L21" s="169">
        <v>1</v>
      </c>
      <c r="M21" s="9" t="s">
        <v>80</v>
      </c>
      <c r="N21" s="124" t="e">
        <f t="shared" si="2"/>
        <v>#N/A</v>
      </c>
      <c r="O21" s="169">
        <v>2</v>
      </c>
      <c r="P21" s="9" t="s">
        <v>80</v>
      </c>
      <c r="Q21" s="124" t="e">
        <f t="shared" si="3"/>
        <v>#N/A</v>
      </c>
      <c r="R21" s="170">
        <v>2</v>
      </c>
      <c r="S21" s="168" t="str">
        <f>IF($G$3="NO","No aplica",IF($G$3="NO","No aplica",IF($G$3="NO","-",IF($G$3="-","-",IF($G$8="-","-",IF(G21="-","-",IF(J21="-","-",IF(M21="-","-",IF(P21="-","-",SUM($H$8,H21,K21,N21,Q21))))))))))</f>
        <v>-</v>
      </c>
      <c r="T21" s="124">
        <f t="shared" si="4"/>
        <v>10</v>
      </c>
      <c r="U21" s="28" t="str">
        <f t="shared" ref="U21:U37" si="8">IF(S21="-","Pendiente",IF(S21="No aplica","No aplica",+S21/T21))</f>
        <v>Pendiente</v>
      </c>
      <c r="V21" s="13" t="str">
        <f>IF(COUNTIF(U19:U37, "Pendiente") &gt; 0,"Pendiente",IF(U21="No aplica","No aplica",IF(U21&gt;=100%,"Muy Bajo",IF(U21&gt;=80%,"Bajo",IF(U21&gt;=60%,"Medio",IF(U21&gt;=40%,"Alto","Muy Alto"))))))</f>
        <v>Pendiente</v>
      </c>
      <c r="W21" s="171" t="str">
        <f t="shared" si="5"/>
        <v>Pendiente</v>
      </c>
      <c r="X21" s="519"/>
      <c r="Y21" s="14" t="str">
        <f>+W21</f>
        <v>Pendiente</v>
      </c>
      <c r="Z21" s="172">
        <v>1</v>
      </c>
      <c r="AA21" s="532"/>
      <c r="AB21" s="173" t="s">
        <v>321</v>
      </c>
      <c r="AC21" s="174" t="str">
        <f t="shared" si="6"/>
        <v>Pendiente</v>
      </c>
      <c r="AD21" s="245"/>
      <c r="AE21" s="175" t="str">
        <f t="shared" si="7"/>
        <v>Pendiente</v>
      </c>
      <c r="AF21" s="512"/>
      <c r="AG21" s="241"/>
      <c r="AI21" s="118"/>
    </row>
    <row r="22" spans="2:35" ht="182.15" customHeight="1" x14ac:dyDescent="0.45">
      <c r="B22" s="535"/>
      <c r="C22" s="526"/>
      <c r="D22" s="529"/>
      <c r="E22" s="166" t="s">
        <v>347</v>
      </c>
      <c r="F22" s="167" t="s">
        <v>85</v>
      </c>
      <c r="G22" s="36" t="s">
        <v>80</v>
      </c>
      <c r="H22" s="124" t="e">
        <f t="shared" si="0"/>
        <v>#N/A</v>
      </c>
      <c r="I22" s="169">
        <v>2</v>
      </c>
      <c r="J22" s="9" t="s">
        <v>80</v>
      </c>
      <c r="K22" s="124" t="e">
        <f t="shared" si="1"/>
        <v>#N/A</v>
      </c>
      <c r="L22" s="169">
        <v>1</v>
      </c>
      <c r="M22" s="9" t="s">
        <v>80</v>
      </c>
      <c r="N22" s="124" t="e">
        <f t="shared" si="2"/>
        <v>#N/A</v>
      </c>
      <c r="O22" s="169">
        <v>2</v>
      </c>
      <c r="P22" s="9" t="s">
        <v>80</v>
      </c>
      <c r="Q22" s="124" t="e">
        <f t="shared" si="3"/>
        <v>#N/A</v>
      </c>
      <c r="R22" s="170">
        <v>2</v>
      </c>
      <c r="S22" s="168" t="str">
        <f>IF($G$3="NO","No aplica",IF($G$3="NO","-",IF($G$3="-","-",IF($G$8="-","-",IF(G22="-","-",IF(J22="-","-",IF(M22="-","-",IF(P22="-","-",SUM($H$8,H22,K22,N22,Q22)))))))))</f>
        <v>-</v>
      </c>
      <c r="T22" s="124">
        <f t="shared" si="4"/>
        <v>10</v>
      </c>
      <c r="U22" s="28" t="str">
        <f t="shared" si="8"/>
        <v>Pendiente</v>
      </c>
      <c r="V22" s="13" t="str">
        <f>IF(COUNTIF(U19:U37, "Pendiente") &gt; 0,"Pendiente",IF(U22="No aplica","No aplica",IF(U22&gt;=100%,"Muy Bajo",IF(U22&gt;=80%,"Bajo",IF(U22&gt;=60%,"Medio",IF(U22&gt;=40%,"Alto","Muy Alto"))))))</f>
        <v>Pendiente</v>
      </c>
      <c r="W22" s="171" t="str">
        <f t="shared" si="5"/>
        <v>Pendiente</v>
      </c>
      <c r="X22" s="519"/>
      <c r="Y22" s="14" t="str">
        <f>+W22</f>
        <v>Pendiente</v>
      </c>
      <c r="Z22" s="172">
        <v>1</v>
      </c>
      <c r="AA22" s="532"/>
      <c r="AB22" s="173" t="s">
        <v>322</v>
      </c>
      <c r="AC22" s="174" t="str">
        <f t="shared" si="6"/>
        <v>Pendiente</v>
      </c>
      <c r="AD22" s="245"/>
      <c r="AE22" s="175" t="str">
        <f t="shared" si="7"/>
        <v>Pendiente</v>
      </c>
      <c r="AF22" s="512"/>
      <c r="AG22" s="241"/>
      <c r="AI22" s="118"/>
    </row>
    <row r="23" spans="2:35" ht="212.15" customHeight="1" thickBot="1" x14ac:dyDescent="0.5">
      <c r="B23" s="535"/>
      <c r="C23" s="527"/>
      <c r="D23" s="530"/>
      <c r="E23" s="177" t="s">
        <v>348</v>
      </c>
      <c r="F23" s="178" t="s">
        <v>142</v>
      </c>
      <c r="G23" s="37" t="s">
        <v>80</v>
      </c>
      <c r="H23" s="180" t="e">
        <f t="shared" si="0"/>
        <v>#N/A</v>
      </c>
      <c r="I23" s="181">
        <v>2</v>
      </c>
      <c r="J23" s="15" t="s">
        <v>80</v>
      </c>
      <c r="K23" s="180" t="e">
        <f t="shared" si="1"/>
        <v>#N/A</v>
      </c>
      <c r="L23" s="181">
        <v>1</v>
      </c>
      <c r="M23" s="15" t="s">
        <v>80</v>
      </c>
      <c r="N23" s="180" t="e">
        <f t="shared" si="2"/>
        <v>#N/A</v>
      </c>
      <c r="O23" s="181">
        <v>2</v>
      </c>
      <c r="P23" s="15" t="s">
        <v>80</v>
      </c>
      <c r="Q23" s="180" t="e">
        <f t="shared" si="3"/>
        <v>#N/A</v>
      </c>
      <c r="R23" s="182">
        <v>2</v>
      </c>
      <c r="S23" s="179" t="str">
        <f t="shared" ref="S23:S37" si="9">IF($G$3="NO","No aplica",IF($G$3="NO","-", IF($G$3="-","-", IF($G$8="-","-",IF(G23="-","-",IF(J23="-","-",IF(M23="-","-",IF(P23="-","-",SUM($H$8,H23,K23,N23,Q23)))))))))</f>
        <v>-</v>
      </c>
      <c r="T23" s="180">
        <f t="shared" si="4"/>
        <v>10</v>
      </c>
      <c r="U23" s="55" t="str">
        <f t="shared" si="8"/>
        <v>Pendiente</v>
      </c>
      <c r="V23" s="16" t="str">
        <f>IF(COUNTIF(U19:U37, "Pendiente") &gt; 0,"Pendiente",IF(U23="No aplica","No aplica",IF(U23&gt;=100%,"Muy Bajo",IF(U23&gt;=80%,"Bajo",IF(U23&gt;=60%,"Medio",IF(U23&gt;=40%,"Alto","Muy Alto"))))))</f>
        <v>Pendiente</v>
      </c>
      <c r="W23" s="183" t="str">
        <f t="shared" si="5"/>
        <v>Pendiente</v>
      </c>
      <c r="X23" s="520"/>
      <c r="Y23" s="27" t="str">
        <f>+W23</f>
        <v>Pendiente</v>
      </c>
      <c r="Z23" s="184">
        <v>1</v>
      </c>
      <c r="AA23" s="533"/>
      <c r="AB23" s="185" t="s">
        <v>209</v>
      </c>
      <c r="AC23" s="186" t="str">
        <f t="shared" si="6"/>
        <v>Pendiente</v>
      </c>
      <c r="AD23" s="246"/>
      <c r="AE23" s="187" t="str">
        <f t="shared" si="7"/>
        <v>Pendiente</v>
      </c>
      <c r="AF23" s="511"/>
      <c r="AG23" s="242"/>
      <c r="AI23" s="118"/>
    </row>
    <row r="24" spans="2:35" ht="231" customHeight="1" x14ac:dyDescent="0.45">
      <c r="B24" s="535"/>
      <c r="C24" s="541">
        <v>2</v>
      </c>
      <c r="D24" s="543" t="s">
        <v>144</v>
      </c>
      <c r="E24" s="154" t="s">
        <v>349</v>
      </c>
      <c r="F24" s="155" t="s">
        <v>65</v>
      </c>
      <c r="G24" s="35" t="s">
        <v>80</v>
      </c>
      <c r="H24" s="157" t="e">
        <f t="shared" si="0"/>
        <v>#N/A</v>
      </c>
      <c r="I24" s="158">
        <v>2</v>
      </c>
      <c r="J24" s="10" t="s">
        <v>80</v>
      </c>
      <c r="K24" s="157" t="e">
        <f t="shared" si="1"/>
        <v>#N/A</v>
      </c>
      <c r="L24" s="158">
        <v>1</v>
      </c>
      <c r="M24" s="10" t="s">
        <v>80</v>
      </c>
      <c r="N24" s="157" t="e">
        <f t="shared" si="2"/>
        <v>#N/A</v>
      </c>
      <c r="O24" s="158">
        <v>2</v>
      </c>
      <c r="P24" s="10" t="s">
        <v>80</v>
      </c>
      <c r="Q24" s="157" t="e">
        <f t="shared" si="3"/>
        <v>#N/A</v>
      </c>
      <c r="R24" s="159">
        <v>2</v>
      </c>
      <c r="S24" s="188" t="str">
        <f t="shared" si="9"/>
        <v>-</v>
      </c>
      <c r="T24" s="157">
        <f t="shared" si="4"/>
        <v>10</v>
      </c>
      <c r="U24" s="18" t="str">
        <f t="shared" si="8"/>
        <v>Pendiente</v>
      </c>
      <c r="V24" s="11" t="str">
        <f>IF(COUNTIF(U19:U37, "Pendiente") &gt; 0,"Pendiente",IF(U24="No aplica","No aplica",IF(U24&gt;=100%,"Muy Bajo",IF(U24&gt;=80%,"Bajo",IF(U24&gt;=60%,"Medio",IF(U24&gt;=40%,"Alto","Muy Alto"))))))</f>
        <v>Pendiente</v>
      </c>
      <c r="W24" s="160" t="str">
        <f t="shared" si="5"/>
        <v>Pendiente</v>
      </c>
      <c r="X24" s="189">
        <v>1</v>
      </c>
      <c r="Y24" s="18" t="str">
        <f t="shared" ref="Y24:Y37" si="10">+W24</f>
        <v>Pendiente</v>
      </c>
      <c r="Z24" s="161">
        <v>1</v>
      </c>
      <c r="AA24" s="545" t="str">
        <f>IF($G$3="No","No aplica",+IF(COUNTIF(Y24:Y25,"Pendiente")&gt;0,"Pendiente",AVERAGE(3*Y24*1.5,3*Y25*1.5)))</f>
        <v>Pendiente</v>
      </c>
      <c r="AB24" s="162" t="s">
        <v>323</v>
      </c>
      <c r="AC24" s="163" t="str">
        <f t="shared" si="6"/>
        <v>Pendiente</v>
      </c>
      <c r="AD24" s="244"/>
      <c r="AE24" s="164" t="str">
        <f t="shared" si="7"/>
        <v>Pendiente</v>
      </c>
      <c r="AF24" s="510" t="str">
        <f>IF($G$3="No","No aplica",+IF(AA24="Pendiente","Pendiente",IF(COUNTIF(AD19:AD37,"")&gt;0,"Pendiente",AVERAGE(3*AE24*1.5,3*AE25*1.5))))</f>
        <v>Pendiente</v>
      </c>
      <c r="AG24" s="240"/>
      <c r="AI24" s="118"/>
    </row>
    <row r="25" spans="2:35" ht="231" customHeight="1" thickBot="1" x14ac:dyDescent="0.5">
      <c r="B25" s="535"/>
      <c r="C25" s="542"/>
      <c r="D25" s="544"/>
      <c r="E25" s="177" t="s">
        <v>350</v>
      </c>
      <c r="F25" s="190" t="s">
        <v>66</v>
      </c>
      <c r="G25" s="40" t="s">
        <v>80</v>
      </c>
      <c r="H25" s="192" t="e">
        <f t="shared" si="0"/>
        <v>#N/A</v>
      </c>
      <c r="I25" s="193">
        <v>2</v>
      </c>
      <c r="J25" s="25" t="s">
        <v>80</v>
      </c>
      <c r="K25" s="192" t="e">
        <f t="shared" si="1"/>
        <v>#N/A</v>
      </c>
      <c r="L25" s="193">
        <v>1</v>
      </c>
      <c r="M25" s="25" t="s">
        <v>80</v>
      </c>
      <c r="N25" s="192" t="e">
        <f t="shared" si="2"/>
        <v>#N/A</v>
      </c>
      <c r="O25" s="193">
        <v>2</v>
      </c>
      <c r="P25" s="25" t="s">
        <v>80</v>
      </c>
      <c r="Q25" s="192" t="e">
        <f t="shared" si="3"/>
        <v>#N/A</v>
      </c>
      <c r="R25" s="194">
        <v>2</v>
      </c>
      <c r="S25" s="195" t="str">
        <f t="shared" si="9"/>
        <v>-</v>
      </c>
      <c r="T25" s="192">
        <f t="shared" si="4"/>
        <v>10</v>
      </c>
      <c r="U25" s="29" t="str">
        <f t="shared" si="8"/>
        <v>Pendiente</v>
      </c>
      <c r="V25" s="26" t="str">
        <f>IF(COUNTIF(U19:U37, "Pendiente") &gt; 0,"Pendiente",IF(U25="No aplica","No aplica",IF(U25&gt;=100%,"Muy Bajo",IF(U25&gt;=80%,"Bajo",IF(U25&gt;=60%,"Medio",IF(U25&gt;=40%,"Alto","Muy Alto"))))))</f>
        <v>Pendiente</v>
      </c>
      <c r="W25" s="196" t="str">
        <f t="shared" si="5"/>
        <v>Pendiente</v>
      </c>
      <c r="X25" s="197">
        <v>1</v>
      </c>
      <c r="Y25" s="47" t="str">
        <f t="shared" si="10"/>
        <v>Pendiente</v>
      </c>
      <c r="Z25" s="198">
        <v>1</v>
      </c>
      <c r="AA25" s="546"/>
      <c r="AB25" s="185" t="s">
        <v>231</v>
      </c>
      <c r="AC25" s="186" t="str">
        <f t="shared" si="6"/>
        <v>Pendiente</v>
      </c>
      <c r="AD25" s="246"/>
      <c r="AE25" s="187" t="str">
        <f t="shared" si="7"/>
        <v>Pendiente</v>
      </c>
      <c r="AF25" s="511"/>
      <c r="AG25" s="242"/>
      <c r="AI25" s="118"/>
    </row>
    <row r="26" spans="2:35" ht="272.14999999999998" customHeight="1" thickBot="1" x14ac:dyDescent="0.5">
      <c r="B26" s="535"/>
      <c r="C26" s="199">
        <v>3</v>
      </c>
      <c r="D26" s="200" t="s">
        <v>145</v>
      </c>
      <c r="E26" s="201" t="s">
        <v>351</v>
      </c>
      <c r="F26" s="202" t="s">
        <v>68</v>
      </c>
      <c r="G26" s="39" t="s">
        <v>80</v>
      </c>
      <c r="H26" s="204" t="e">
        <f t="shared" si="0"/>
        <v>#N/A</v>
      </c>
      <c r="I26" s="205">
        <v>2</v>
      </c>
      <c r="J26" s="21" t="s">
        <v>80</v>
      </c>
      <c r="K26" s="204" t="e">
        <f t="shared" si="1"/>
        <v>#N/A</v>
      </c>
      <c r="L26" s="205">
        <v>1</v>
      </c>
      <c r="M26" s="21" t="s">
        <v>80</v>
      </c>
      <c r="N26" s="204" t="e">
        <f t="shared" si="2"/>
        <v>#N/A</v>
      </c>
      <c r="O26" s="205">
        <v>2</v>
      </c>
      <c r="P26" s="21" t="s">
        <v>80</v>
      </c>
      <c r="Q26" s="204" t="e">
        <f t="shared" si="3"/>
        <v>#N/A</v>
      </c>
      <c r="R26" s="206">
        <v>2</v>
      </c>
      <c r="S26" s="207" t="str">
        <f t="shared" si="9"/>
        <v>-</v>
      </c>
      <c r="T26" s="204">
        <f t="shared" si="4"/>
        <v>10</v>
      </c>
      <c r="U26" s="41" t="str">
        <f t="shared" si="8"/>
        <v>Pendiente</v>
      </c>
      <c r="V26" s="22" t="str">
        <f>IF(COUNTIF(U19:U37, "Pendiente") &gt; 0,"Pendiente",IF(U26="No aplica","No aplica",IF(U26&gt;=100%,"Muy Bajo",IF(U26&gt;=80%,"Bajo",IF(U26&gt;=60%,"Medio",IF(U26&gt;=40%,"Alto","Muy Alto"))))))</f>
        <v>Pendiente</v>
      </c>
      <c r="W26" s="208" t="str">
        <f t="shared" si="5"/>
        <v>Pendiente</v>
      </c>
      <c r="X26" s="209">
        <v>1</v>
      </c>
      <c r="Y26" s="41" t="str">
        <f t="shared" si="10"/>
        <v>Pendiente</v>
      </c>
      <c r="Z26" s="210">
        <v>1</v>
      </c>
      <c r="AA26" s="211" t="str">
        <f>IF($G$3="No","No aplica",+IF(COUNTIF(Y26,"Pendiente")&gt;0,"Pendiente",3*Y26*1.5))</f>
        <v>Pendiente</v>
      </c>
      <c r="AB26" s="212" t="s">
        <v>324</v>
      </c>
      <c r="AC26" s="213" t="str">
        <f t="shared" si="6"/>
        <v>Pendiente</v>
      </c>
      <c r="AD26" s="247"/>
      <c r="AE26" s="214" t="str">
        <f t="shared" si="7"/>
        <v>Pendiente</v>
      </c>
      <c r="AF26" s="215" t="str">
        <f>IF($G$3="No","No aplica",+IF(COUNTIF(AA26,"Pendiente")&gt;0,"Pendiente",IF(COUNTIF(AD19:AD37,"")&gt;0,"Pendiente",3*1.5*AE26)))</f>
        <v>Pendiente</v>
      </c>
      <c r="AG26" s="243"/>
      <c r="AI26" s="118"/>
    </row>
    <row r="27" spans="2:35" ht="208" customHeight="1" thickBot="1" x14ac:dyDescent="0.5">
      <c r="B27" s="535"/>
      <c r="C27" s="199">
        <v>4</v>
      </c>
      <c r="D27" s="216" t="s">
        <v>146</v>
      </c>
      <c r="E27" s="217" t="s">
        <v>352</v>
      </c>
      <c r="F27" s="218" t="s">
        <v>71</v>
      </c>
      <c r="G27" s="39" t="s">
        <v>80</v>
      </c>
      <c r="H27" s="204" t="e">
        <f t="shared" si="0"/>
        <v>#N/A</v>
      </c>
      <c r="I27" s="205">
        <v>2</v>
      </c>
      <c r="J27" s="21" t="s">
        <v>80</v>
      </c>
      <c r="K27" s="204" t="e">
        <f t="shared" si="1"/>
        <v>#N/A</v>
      </c>
      <c r="L27" s="205">
        <v>1</v>
      </c>
      <c r="M27" s="21" t="s">
        <v>80</v>
      </c>
      <c r="N27" s="204" t="e">
        <f t="shared" si="2"/>
        <v>#N/A</v>
      </c>
      <c r="O27" s="205">
        <v>2</v>
      </c>
      <c r="P27" s="21" t="s">
        <v>80</v>
      </c>
      <c r="Q27" s="204" t="e">
        <f t="shared" si="3"/>
        <v>#N/A</v>
      </c>
      <c r="R27" s="206">
        <v>2</v>
      </c>
      <c r="S27" s="207" t="str">
        <f t="shared" si="9"/>
        <v>-</v>
      </c>
      <c r="T27" s="204">
        <f t="shared" si="4"/>
        <v>10</v>
      </c>
      <c r="U27" s="41" t="str">
        <f t="shared" si="8"/>
        <v>Pendiente</v>
      </c>
      <c r="V27" s="22" t="str">
        <f>IF(COUNTIF(U19:U37, "Pendiente") &gt; 0,"Pendiente",IF(U27="No aplica","No aplica",IF(U27&gt;=100%,"Muy Bajo",IF(U27&gt;=80%,"Bajo",IF(U27&gt;=60%,"Medio",IF(U27&gt;=40%,"Alto","Muy Alto"))))))</f>
        <v>Pendiente</v>
      </c>
      <c r="W27" s="208" t="str">
        <f t="shared" si="5"/>
        <v>Pendiente</v>
      </c>
      <c r="X27" s="219">
        <v>2</v>
      </c>
      <c r="Y27" s="23" t="str">
        <f t="shared" si="10"/>
        <v>Pendiente</v>
      </c>
      <c r="Z27" s="220">
        <v>3</v>
      </c>
      <c r="AA27" s="211" t="str">
        <f>IF($G$3="No","No aplica",+IF(COUNTIF(Y27,"Pendiente")&gt;0,"Pendiente",4*Y27*Z27))</f>
        <v>Pendiente</v>
      </c>
      <c r="AB27" s="212" t="s">
        <v>210</v>
      </c>
      <c r="AC27" s="213" t="str">
        <f t="shared" si="6"/>
        <v>Pendiente</v>
      </c>
      <c r="AD27" s="247"/>
      <c r="AE27" s="214" t="str">
        <f t="shared" si="7"/>
        <v>Pendiente</v>
      </c>
      <c r="AF27" s="215" t="str">
        <f>IF($G$3="No","No aplica",+IF(COUNTIF(AA27,"Pendiente")&gt;0,"Pendiente",IF(COUNTIF(AD19:AD37,"")&gt;0,"Pendiente",4*Z27*AE27)))</f>
        <v>Pendiente</v>
      </c>
      <c r="AG27" s="243"/>
      <c r="AI27" s="118"/>
    </row>
    <row r="28" spans="2:35" ht="163" customHeight="1" thickBot="1" x14ac:dyDescent="0.5">
      <c r="B28" s="535"/>
      <c r="C28" s="199">
        <v>5</v>
      </c>
      <c r="D28" s="200" t="s">
        <v>147</v>
      </c>
      <c r="E28" s="217" t="s">
        <v>353</v>
      </c>
      <c r="F28" s="218" t="s">
        <v>73</v>
      </c>
      <c r="G28" s="39" t="s">
        <v>80</v>
      </c>
      <c r="H28" s="204" t="e">
        <f t="shared" si="0"/>
        <v>#N/A</v>
      </c>
      <c r="I28" s="205">
        <v>2</v>
      </c>
      <c r="J28" s="21" t="s">
        <v>80</v>
      </c>
      <c r="K28" s="204" t="e">
        <f t="shared" si="1"/>
        <v>#N/A</v>
      </c>
      <c r="L28" s="205">
        <v>1</v>
      </c>
      <c r="M28" s="21" t="s">
        <v>80</v>
      </c>
      <c r="N28" s="204" t="e">
        <f t="shared" si="2"/>
        <v>#N/A</v>
      </c>
      <c r="O28" s="205">
        <v>2</v>
      </c>
      <c r="P28" s="21" t="s">
        <v>80</v>
      </c>
      <c r="Q28" s="204" t="e">
        <f t="shared" si="3"/>
        <v>#N/A</v>
      </c>
      <c r="R28" s="206">
        <v>2</v>
      </c>
      <c r="S28" s="207" t="str">
        <f t="shared" si="9"/>
        <v>-</v>
      </c>
      <c r="T28" s="204">
        <f t="shared" si="4"/>
        <v>10</v>
      </c>
      <c r="U28" s="41" t="str">
        <f t="shared" si="8"/>
        <v>Pendiente</v>
      </c>
      <c r="V28" s="22" t="str">
        <f>IF(COUNTIF(U19:U37, "Pendiente") &gt; 0,"Pendiente",IF(U28="No aplica","No aplica",IF(U28&gt;=100%,"Muy Bajo",IF(U28&gt;=80%,"Bajo",IF(U28&gt;=60%,"Medio",IF(U28&gt;=40%,"Alto","Muy Alto"))))))</f>
        <v>Pendiente</v>
      </c>
      <c r="W28" s="208" t="str">
        <f t="shared" si="5"/>
        <v>Pendiente</v>
      </c>
      <c r="X28" s="219">
        <v>2</v>
      </c>
      <c r="Y28" s="23" t="str">
        <f t="shared" si="10"/>
        <v>Pendiente</v>
      </c>
      <c r="Z28" s="220">
        <v>3</v>
      </c>
      <c r="AA28" s="211" t="str">
        <f>IF($G$3="No","No aplica",+IF(COUNTIF(Y28,"Pendiente")&gt;0,"Pendiente",4*Y28*Z28))</f>
        <v>Pendiente</v>
      </c>
      <c r="AB28" s="212" t="s">
        <v>148</v>
      </c>
      <c r="AC28" s="213" t="str">
        <f t="shared" si="6"/>
        <v>Pendiente</v>
      </c>
      <c r="AD28" s="247"/>
      <c r="AE28" s="214" t="str">
        <f t="shared" si="7"/>
        <v>Pendiente</v>
      </c>
      <c r="AF28" s="54" t="str">
        <f>IF($G$3="No","No aplica",+IF(COUNTIF(AA28,"Pendiente")&gt;0,"Pendiente",IF(COUNTIF(AD19:AD37,"")&gt;0,"Pendiente",4*Z28*AE28)))</f>
        <v>Pendiente</v>
      </c>
      <c r="AG28" s="243"/>
      <c r="AI28" s="118"/>
    </row>
    <row r="29" spans="2:35" ht="337.5" customHeight="1" x14ac:dyDescent="0.45">
      <c r="B29" s="535"/>
      <c r="C29" s="525">
        <v>6</v>
      </c>
      <c r="D29" s="528" t="s">
        <v>152</v>
      </c>
      <c r="E29" s="221" t="s">
        <v>354</v>
      </c>
      <c r="F29" s="155" t="s">
        <v>77</v>
      </c>
      <c r="G29" s="35" t="s">
        <v>80</v>
      </c>
      <c r="H29" s="157" t="e">
        <f t="shared" si="0"/>
        <v>#N/A</v>
      </c>
      <c r="I29" s="158">
        <v>2</v>
      </c>
      <c r="J29" s="10" t="s">
        <v>80</v>
      </c>
      <c r="K29" s="157" t="e">
        <f t="shared" si="1"/>
        <v>#N/A</v>
      </c>
      <c r="L29" s="158">
        <v>1</v>
      </c>
      <c r="M29" s="10" t="s">
        <v>80</v>
      </c>
      <c r="N29" s="157" t="e">
        <f t="shared" si="2"/>
        <v>#N/A</v>
      </c>
      <c r="O29" s="158">
        <v>2</v>
      </c>
      <c r="P29" s="10" t="s">
        <v>80</v>
      </c>
      <c r="Q29" s="157" t="e">
        <f t="shared" si="3"/>
        <v>#N/A</v>
      </c>
      <c r="R29" s="159">
        <v>2</v>
      </c>
      <c r="S29" s="188" t="str">
        <f t="shared" si="9"/>
        <v>-</v>
      </c>
      <c r="T29" s="157">
        <f t="shared" si="4"/>
        <v>10</v>
      </c>
      <c r="U29" s="18" t="str">
        <f t="shared" si="8"/>
        <v>Pendiente</v>
      </c>
      <c r="V29" s="11" t="str">
        <f>IF(COUNTIF(U19:U37, "Pendiente") &gt; 0,"Pendiente",IF(U29="No aplica","No aplica",IF(U29&gt;=100%,"Muy Bajo",IF(U29&gt;=80%,"Bajo",IF(U29&gt;=60%,"Medio",IF(U29&gt;=40%,"Alto","Muy Alto"))))))</f>
        <v>Pendiente</v>
      </c>
      <c r="W29" s="160" t="str">
        <f t="shared" si="5"/>
        <v>Pendiente</v>
      </c>
      <c r="X29" s="538">
        <v>2</v>
      </c>
      <c r="Y29" s="12" t="str">
        <f t="shared" si="10"/>
        <v>Pendiente</v>
      </c>
      <c r="Z29" s="222">
        <v>1</v>
      </c>
      <c r="AA29" s="531" t="str">
        <f>IF($G$3="No","No aplica",+IF(COUNTIF(Y29:Y33,"Pendiente")&gt;0,"Pendiente",AVERAGE(4*Y29*1.5,4*Y30*1.5,4*Y31*Z31,4*Y32*1.5,4*Y33*1.5)))</f>
        <v>Pendiente</v>
      </c>
      <c r="AB29" s="162" t="s">
        <v>325</v>
      </c>
      <c r="AC29" s="163" t="str">
        <f t="shared" si="6"/>
        <v>Pendiente</v>
      </c>
      <c r="AD29" s="248"/>
      <c r="AE29" s="164" t="str">
        <f t="shared" si="7"/>
        <v>Pendiente</v>
      </c>
      <c r="AF29" s="510" t="str">
        <f>IF($G$3="No","No aplica",+IF(AA29="Pendiente","Pendiente",IF(COUNTIF(AD19:AD37,"")&gt;0,"Pendiente",AVERAGE(4*1.5*AE29,4*1.5*AE30,4*Z31*AE31,4*1.5*AE32,4*1.5*AE33))))</f>
        <v>Pendiente</v>
      </c>
      <c r="AG29" s="240"/>
      <c r="AI29" s="223"/>
    </row>
    <row r="30" spans="2:35" ht="233.15" customHeight="1" x14ac:dyDescent="0.45">
      <c r="B30" s="535"/>
      <c r="C30" s="526"/>
      <c r="D30" s="529"/>
      <c r="E30" s="224" t="s">
        <v>355</v>
      </c>
      <c r="F30" s="167" t="s">
        <v>96</v>
      </c>
      <c r="G30" s="36" t="s">
        <v>80</v>
      </c>
      <c r="H30" s="124" t="e">
        <f t="shared" si="0"/>
        <v>#N/A</v>
      </c>
      <c r="I30" s="169">
        <v>2</v>
      </c>
      <c r="J30" s="9" t="s">
        <v>80</v>
      </c>
      <c r="K30" s="124" t="e">
        <f t="shared" si="1"/>
        <v>#N/A</v>
      </c>
      <c r="L30" s="169">
        <v>1</v>
      </c>
      <c r="M30" s="9" t="s">
        <v>80</v>
      </c>
      <c r="N30" s="124" t="e">
        <f t="shared" si="2"/>
        <v>#N/A</v>
      </c>
      <c r="O30" s="169">
        <v>2</v>
      </c>
      <c r="P30" s="9" t="s">
        <v>80</v>
      </c>
      <c r="Q30" s="124" t="e">
        <f t="shared" si="3"/>
        <v>#N/A</v>
      </c>
      <c r="R30" s="170">
        <v>2</v>
      </c>
      <c r="S30" s="225" t="str">
        <f t="shared" si="9"/>
        <v>-</v>
      </c>
      <c r="T30" s="124">
        <f t="shared" si="4"/>
        <v>10</v>
      </c>
      <c r="U30" s="28" t="str">
        <f t="shared" si="8"/>
        <v>Pendiente</v>
      </c>
      <c r="V30" s="13" t="str">
        <f>IF(COUNTIF(U19:U37, "Pendiente") &gt; 0,"Pendiente",IF(U30="No aplica","No aplica",IF(U30&gt;=100%,"Muy Bajo",IF(U30&gt;=80%,"Bajo",IF(U30&gt;=60%,"Medio",IF(U30&gt;=40%,"Alto","Muy Alto"))))))</f>
        <v>Pendiente</v>
      </c>
      <c r="W30" s="171" t="str">
        <f t="shared" si="5"/>
        <v>Pendiente</v>
      </c>
      <c r="X30" s="539"/>
      <c r="Y30" s="14" t="str">
        <f t="shared" ref="Y30:Y33" si="11">+W30</f>
        <v>Pendiente</v>
      </c>
      <c r="Z30" s="172">
        <v>1</v>
      </c>
      <c r="AA30" s="532"/>
      <c r="AB30" s="173" t="s">
        <v>326</v>
      </c>
      <c r="AC30" s="174" t="str">
        <f t="shared" si="6"/>
        <v>Pendiente</v>
      </c>
      <c r="AD30" s="502"/>
      <c r="AE30" s="175" t="str">
        <f t="shared" si="7"/>
        <v>Pendiente</v>
      </c>
      <c r="AF30" s="512"/>
      <c r="AG30" s="241"/>
      <c r="AI30" s="118"/>
    </row>
    <row r="31" spans="2:35" ht="163" customHeight="1" x14ac:dyDescent="0.45">
      <c r="B31" s="535"/>
      <c r="C31" s="526"/>
      <c r="D31" s="529"/>
      <c r="E31" s="226" t="s">
        <v>356</v>
      </c>
      <c r="F31" s="167" t="s">
        <v>149</v>
      </c>
      <c r="G31" s="36" t="s">
        <v>80</v>
      </c>
      <c r="H31" s="124" t="e">
        <f t="shared" si="0"/>
        <v>#N/A</v>
      </c>
      <c r="I31" s="169">
        <v>2</v>
      </c>
      <c r="J31" s="9" t="s">
        <v>80</v>
      </c>
      <c r="K31" s="124" t="e">
        <f t="shared" si="1"/>
        <v>#N/A</v>
      </c>
      <c r="L31" s="169">
        <v>1</v>
      </c>
      <c r="M31" s="9" t="s">
        <v>80</v>
      </c>
      <c r="N31" s="124" t="e">
        <f t="shared" si="2"/>
        <v>#N/A</v>
      </c>
      <c r="O31" s="169">
        <v>2</v>
      </c>
      <c r="P31" s="9" t="s">
        <v>80</v>
      </c>
      <c r="Q31" s="124" t="e">
        <f t="shared" si="3"/>
        <v>#N/A</v>
      </c>
      <c r="R31" s="170">
        <v>2</v>
      </c>
      <c r="S31" s="225" t="str">
        <f t="shared" si="9"/>
        <v>-</v>
      </c>
      <c r="T31" s="124">
        <f t="shared" si="4"/>
        <v>10</v>
      </c>
      <c r="U31" s="28" t="str">
        <f t="shared" si="8"/>
        <v>Pendiente</v>
      </c>
      <c r="V31" s="13" t="str">
        <f>IF(COUNTIF(U19:U37, "Pendiente") &gt; 0,"Pendiente",IF(U31="No aplica","No aplica",IF(U31&gt;=100%,"Muy Bajo",IF(U31&gt;=80%,"Bajo",IF(U31&gt;=60%,"Medio",IF(U31&gt;=40%,"Alto","Muy Alto"))))))</f>
        <v>Pendiente</v>
      </c>
      <c r="W31" s="171" t="str">
        <f t="shared" si="5"/>
        <v>Pendiente</v>
      </c>
      <c r="X31" s="539"/>
      <c r="Y31" s="14" t="str">
        <f t="shared" si="11"/>
        <v>Pendiente</v>
      </c>
      <c r="Z31" s="227">
        <v>3</v>
      </c>
      <c r="AA31" s="532"/>
      <c r="AB31" s="173" t="s">
        <v>327</v>
      </c>
      <c r="AC31" s="174" t="str">
        <f t="shared" si="6"/>
        <v>Pendiente</v>
      </c>
      <c r="AD31" s="245"/>
      <c r="AE31" s="175" t="str">
        <f t="shared" si="7"/>
        <v>Pendiente</v>
      </c>
      <c r="AF31" s="512"/>
      <c r="AG31" s="241"/>
      <c r="AI31" s="118"/>
    </row>
    <row r="32" spans="2:35" ht="192.65" customHeight="1" x14ac:dyDescent="0.45">
      <c r="B32" s="535"/>
      <c r="C32" s="526"/>
      <c r="D32" s="529"/>
      <c r="E32" s="224" t="s">
        <v>357</v>
      </c>
      <c r="F32" s="167" t="s">
        <v>150</v>
      </c>
      <c r="G32" s="36" t="s">
        <v>80</v>
      </c>
      <c r="H32" s="124" t="e">
        <f t="shared" si="0"/>
        <v>#N/A</v>
      </c>
      <c r="I32" s="169">
        <v>2</v>
      </c>
      <c r="J32" s="9" t="s">
        <v>80</v>
      </c>
      <c r="K32" s="124" t="e">
        <f t="shared" si="1"/>
        <v>#N/A</v>
      </c>
      <c r="L32" s="169">
        <v>1</v>
      </c>
      <c r="M32" s="9" t="s">
        <v>80</v>
      </c>
      <c r="N32" s="124" t="e">
        <f t="shared" si="2"/>
        <v>#N/A</v>
      </c>
      <c r="O32" s="169">
        <v>2</v>
      </c>
      <c r="P32" s="9" t="s">
        <v>80</v>
      </c>
      <c r="Q32" s="124" t="e">
        <f t="shared" si="3"/>
        <v>#N/A</v>
      </c>
      <c r="R32" s="170">
        <v>2</v>
      </c>
      <c r="S32" s="225" t="str">
        <f t="shared" si="9"/>
        <v>-</v>
      </c>
      <c r="T32" s="124">
        <f t="shared" si="4"/>
        <v>10</v>
      </c>
      <c r="U32" s="28" t="str">
        <f t="shared" si="8"/>
        <v>Pendiente</v>
      </c>
      <c r="V32" s="13" t="str">
        <f>IF(COUNTIF(U19:U37, "Pendiente") &gt; 0,"Pendiente",IF(U32="No aplica","No aplica",IF(U32&gt;=100%,"Muy Bajo",IF(U32&gt;=80%,"Bajo",IF(U32&gt;=60%,"Medio",IF(U32&gt;=40%,"Alto","Muy Alto"))))))</f>
        <v>Pendiente</v>
      </c>
      <c r="W32" s="171" t="str">
        <f t="shared" si="5"/>
        <v>Pendiente</v>
      </c>
      <c r="X32" s="539"/>
      <c r="Y32" s="14" t="str">
        <f t="shared" si="11"/>
        <v>Pendiente</v>
      </c>
      <c r="Z32" s="172">
        <v>1</v>
      </c>
      <c r="AA32" s="532"/>
      <c r="AB32" s="173" t="s">
        <v>153</v>
      </c>
      <c r="AC32" s="174" t="str">
        <f t="shared" si="6"/>
        <v>Pendiente</v>
      </c>
      <c r="AD32" s="245"/>
      <c r="AE32" s="175" t="str">
        <f t="shared" si="7"/>
        <v>Pendiente</v>
      </c>
      <c r="AF32" s="512"/>
      <c r="AG32" s="241"/>
      <c r="AI32" s="118"/>
    </row>
    <row r="33" spans="1:35" ht="163" customHeight="1" thickBot="1" x14ac:dyDescent="0.5">
      <c r="B33" s="535"/>
      <c r="C33" s="527"/>
      <c r="D33" s="530"/>
      <c r="E33" s="228" t="s">
        <v>358</v>
      </c>
      <c r="F33" s="178" t="s">
        <v>151</v>
      </c>
      <c r="G33" s="40" t="s">
        <v>80</v>
      </c>
      <c r="H33" s="192" t="e">
        <f t="shared" si="0"/>
        <v>#N/A</v>
      </c>
      <c r="I33" s="193">
        <v>2</v>
      </c>
      <c r="J33" s="25" t="s">
        <v>80</v>
      </c>
      <c r="K33" s="192" t="e">
        <f t="shared" si="1"/>
        <v>#N/A</v>
      </c>
      <c r="L33" s="193">
        <v>1</v>
      </c>
      <c r="M33" s="25" t="s">
        <v>80</v>
      </c>
      <c r="N33" s="192" t="e">
        <f t="shared" si="2"/>
        <v>#N/A</v>
      </c>
      <c r="O33" s="193">
        <v>2</v>
      </c>
      <c r="P33" s="25" t="s">
        <v>80</v>
      </c>
      <c r="Q33" s="192" t="e">
        <f t="shared" si="3"/>
        <v>#N/A</v>
      </c>
      <c r="R33" s="194">
        <v>2</v>
      </c>
      <c r="S33" s="195" t="str">
        <f t="shared" si="9"/>
        <v>-</v>
      </c>
      <c r="T33" s="192">
        <f t="shared" si="4"/>
        <v>10</v>
      </c>
      <c r="U33" s="29" t="str">
        <f t="shared" si="8"/>
        <v>Pendiente</v>
      </c>
      <c r="V33" s="26" t="str">
        <f>IF(COUNTIF(U19:U37, "Pendiente") &gt; 0,"Pendiente",IF(U33="No aplica","No aplica",IF(U33&gt;=100%,"Muy Bajo",IF(U33&gt;=80%,"Bajo",IF(U33&gt;=60%,"Medio",IF(U33&gt;=40%,"Alto","Muy Alto"))))))</f>
        <v>Pendiente</v>
      </c>
      <c r="W33" s="196" t="str">
        <f t="shared" si="5"/>
        <v>Pendiente</v>
      </c>
      <c r="X33" s="540"/>
      <c r="Y33" s="27" t="str">
        <f t="shared" si="11"/>
        <v>Pendiente</v>
      </c>
      <c r="Z33" s="184">
        <v>1</v>
      </c>
      <c r="AA33" s="533"/>
      <c r="AB33" s="185" t="s">
        <v>211</v>
      </c>
      <c r="AC33" s="186" t="str">
        <f t="shared" si="6"/>
        <v>Pendiente</v>
      </c>
      <c r="AD33" s="246"/>
      <c r="AE33" s="187" t="str">
        <f t="shared" si="7"/>
        <v>Pendiente</v>
      </c>
      <c r="AF33" s="511"/>
      <c r="AG33" s="242"/>
      <c r="AI33" s="118"/>
    </row>
    <row r="34" spans="1:35" ht="207.65" customHeight="1" thickBot="1" x14ac:dyDescent="0.5">
      <c r="B34" s="535"/>
      <c r="C34" s="199">
        <v>7</v>
      </c>
      <c r="D34" s="200" t="s">
        <v>230</v>
      </c>
      <c r="E34" s="201" t="s">
        <v>359</v>
      </c>
      <c r="F34" s="218" t="s">
        <v>78</v>
      </c>
      <c r="G34" s="39" t="s">
        <v>80</v>
      </c>
      <c r="H34" s="204" t="e">
        <f t="shared" si="0"/>
        <v>#N/A</v>
      </c>
      <c r="I34" s="205">
        <v>2</v>
      </c>
      <c r="J34" s="21" t="s">
        <v>80</v>
      </c>
      <c r="K34" s="204" t="e">
        <f t="shared" si="1"/>
        <v>#N/A</v>
      </c>
      <c r="L34" s="205">
        <v>1</v>
      </c>
      <c r="M34" s="21" t="s">
        <v>80</v>
      </c>
      <c r="N34" s="204" t="e">
        <f t="shared" si="2"/>
        <v>#N/A</v>
      </c>
      <c r="O34" s="205">
        <v>2</v>
      </c>
      <c r="P34" s="21" t="s">
        <v>80</v>
      </c>
      <c r="Q34" s="204" t="e">
        <f t="shared" si="3"/>
        <v>#N/A</v>
      </c>
      <c r="R34" s="206">
        <v>2</v>
      </c>
      <c r="S34" s="207" t="str">
        <f t="shared" si="9"/>
        <v>-</v>
      </c>
      <c r="T34" s="204">
        <f t="shared" si="4"/>
        <v>10</v>
      </c>
      <c r="U34" s="41" t="str">
        <f t="shared" si="8"/>
        <v>Pendiente</v>
      </c>
      <c r="V34" s="22" t="str">
        <f>IF(COUNTIF(U19:U37, "Pendiente") &gt; 0,"Pendiente",IF(U34="No aplica","No aplica",IF(U34&gt;=100%,"Muy Bajo",IF(U34&gt;=80%,"Bajo",IF(U34&gt;=60%,"Medio",IF(U34&gt;=40%,"Alto","Muy Alto"))))))</f>
        <v>Pendiente</v>
      </c>
      <c r="W34" s="208" t="str">
        <f t="shared" si="5"/>
        <v>Pendiente</v>
      </c>
      <c r="X34" s="229">
        <v>1</v>
      </c>
      <c r="Y34" s="23" t="str">
        <f t="shared" si="10"/>
        <v>Pendiente</v>
      </c>
      <c r="Z34" s="230">
        <v>1</v>
      </c>
      <c r="AA34" s="211" t="str">
        <f>IF($G$3="No","No aplica",+IF(COUNTIF(Y34,"Pendiente")&gt;0,"Pendiente",3*Y34*1.5))</f>
        <v>Pendiente</v>
      </c>
      <c r="AB34" s="212" t="s">
        <v>328</v>
      </c>
      <c r="AC34" s="213" t="str">
        <f t="shared" si="6"/>
        <v>Pendiente</v>
      </c>
      <c r="AD34" s="247"/>
      <c r="AE34" s="214" t="str">
        <f t="shared" si="7"/>
        <v>Pendiente</v>
      </c>
      <c r="AF34" s="215" t="str">
        <f>IF($G$3="No","No aplica",+IF(COUNTIF(AA34,"Pendiente")&gt;0,"Pendiente",IF(COUNTIF(AD19:AD37,"")&gt;0,"Pendiente",3*1.5*AE34)))</f>
        <v>Pendiente</v>
      </c>
      <c r="AG34" s="243"/>
    </row>
    <row r="35" spans="1:35" ht="185" x14ac:dyDescent="0.45">
      <c r="B35" s="535"/>
      <c r="C35" s="525">
        <v>8</v>
      </c>
      <c r="D35" s="528" t="s">
        <v>104</v>
      </c>
      <c r="E35" s="221" t="s">
        <v>360</v>
      </c>
      <c r="F35" s="231" t="s">
        <v>100</v>
      </c>
      <c r="G35" s="35" t="s">
        <v>80</v>
      </c>
      <c r="H35" s="157" t="e">
        <f t="shared" si="0"/>
        <v>#N/A</v>
      </c>
      <c r="I35" s="158">
        <v>2</v>
      </c>
      <c r="J35" s="10" t="s">
        <v>80</v>
      </c>
      <c r="K35" s="157" t="e">
        <f t="shared" si="1"/>
        <v>#N/A</v>
      </c>
      <c r="L35" s="158">
        <v>1</v>
      </c>
      <c r="M35" s="10" t="s">
        <v>80</v>
      </c>
      <c r="N35" s="157" t="e">
        <f t="shared" si="2"/>
        <v>#N/A</v>
      </c>
      <c r="O35" s="158">
        <v>2</v>
      </c>
      <c r="P35" s="10" t="s">
        <v>80</v>
      </c>
      <c r="Q35" s="157" t="e">
        <f t="shared" si="3"/>
        <v>#N/A</v>
      </c>
      <c r="R35" s="159">
        <v>2</v>
      </c>
      <c r="S35" s="188" t="str">
        <f t="shared" si="9"/>
        <v>-</v>
      </c>
      <c r="T35" s="157">
        <f t="shared" si="4"/>
        <v>10</v>
      </c>
      <c r="U35" s="18" t="str">
        <f t="shared" si="8"/>
        <v>Pendiente</v>
      </c>
      <c r="V35" s="11" t="str">
        <f>IF(COUNTIF(U19:U37, "Pendiente") &gt; 0,"Pendiente",IF(U35="No aplica","No aplica",IF(U35&gt;=100%,"Muy Bajo",IF(U35&gt;=80%,"Bajo",IF(U35&gt;=60%,"Medio",IF(U35&gt;=40%,"Alto","Muy Alto"))))))</f>
        <v>Pendiente</v>
      </c>
      <c r="W35" s="160" t="str">
        <f t="shared" si="5"/>
        <v>Pendiente</v>
      </c>
      <c r="X35" s="518">
        <v>1</v>
      </c>
      <c r="Y35" s="12" t="str">
        <f t="shared" si="10"/>
        <v>Pendiente</v>
      </c>
      <c r="Z35" s="222">
        <v>1</v>
      </c>
      <c r="AA35" s="531" t="str">
        <f>IF($G$3="No","No aplica",+IF(COUNTIF(Y35:Y37,"Pendiente")&gt;0,"Pendiente",AVERAGE(3*Y35*1.5,3*Y36*1.5,3*Y37*1.5)))</f>
        <v>Pendiente</v>
      </c>
      <c r="AB35" s="162" t="s">
        <v>329</v>
      </c>
      <c r="AC35" s="163" t="str">
        <f t="shared" si="6"/>
        <v>Pendiente</v>
      </c>
      <c r="AD35" s="244"/>
      <c r="AE35" s="164" t="str">
        <f t="shared" si="7"/>
        <v>Pendiente</v>
      </c>
      <c r="AF35" s="510" t="str">
        <f>IF($G$3="No","No aplica",+IF(AA35="Pendiente","Pendiente",IF(COUNTIF(AD19:AD37,"")&gt;0,"Pendiente",AVERAGE(3*1.5*AE35,3*1.5*AE36,3*1.5*AE37))))</f>
        <v>Pendiente</v>
      </c>
      <c r="AG35" s="240"/>
    </row>
    <row r="36" spans="1:35" ht="164.5" customHeight="1" x14ac:dyDescent="0.45">
      <c r="B36" s="535"/>
      <c r="C36" s="526"/>
      <c r="D36" s="529"/>
      <c r="E36" s="224" t="s">
        <v>361</v>
      </c>
      <c r="F36" s="232" t="s">
        <v>101</v>
      </c>
      <c r="G36" s="36" t="s">
        <v>80</v>
      </c>
      <c r="H36" s="124" t="e">
        <f t="shared" si="0"/>
        <v>#N/A</v>
      </c>
      <c r="I36" s="169">
        <v>2</v>
      </c>
      <c r="J36" s="9" t="s">
        <v>80</v>
      </c>
      <c r="K36" s="124" t="e">
        <f t="shared" si="1"/>
        <v>#N/A</v>
      </c>
      <c r="L36" s="169">
        <v>1</v>
      </c>
      <c r="M36" s="9" t="s">
        <v>80</v>
      </c>
      <c r="N36" s="124" t="e">
        <f t="shared" si="2"/>
        <v>#N/A</v>
      </c>
      <c r="O36" s="169">
        <v>2</v>
      </c>
      <c r="P36" s="9" t="s">
        <v>80</v>
      </c>
      <c r="Q36" s="124" t="e">
        <f t="shared" si="3"/>
        <v>#N/A</v>
      </c>
      <c r="R36" s="170">
        <v>2</v>
      </c>
      <c r="S36" s="225" t="str">
        <f t="shared" si="9"/>
        <v>-</v>
      </c>
      <c r="T36" s="124">
        <f t="shared" si="4"/>
        <v>10</v>
      </c>
      <c r="U36" s="28" t="str">
        <f t="shared" si="8"/>
        <v>Pendiente</v>
      </c>
      <c r="V36" s="13" t="str">
        <f>IF(COUNTIF(U19:U37, "Pendiente") &gt; 0,"Pendiente",IF(U36="No aplica","No aplica",IF(U36&gt;=100%,"Muy Bajo",IF(U36&gt;=80%,"Bajo",IF(U36&gt;=60%,"Medio",IF(U36&gt;=40%,"Alto","Muy Alto"))))))</f>
        <v>Pendiente</v>
      </c>
      <c r="W36" s="171" t="str">
        <f t="shared" si="5"/>
        <v>Pendiente</v>
      </c>
      <c r="X36" s="519"/>
      <c r="Y36" s="14" t="str">
        <f t="shared" ref="Y36" si="12">+W36</f>
        <v>Pendiente</v>
      </c>
      <c r="Z36" s="172">
        <v>1</v>
      </c>
      <c r="AA36" s="532"/>
      <c r="AB36" s="173" t="s">
        <v>330</v>
      </c>
      <c r="AC36" s="174" t="str">
        <f t="shared" si="6"/>
        <v>Pendiente</v>
      </c>
      <c r="AD36" s="245"/>
      <c r="AE36" s="175" t="str">
        <f t="shared" si="7"/>
        <v>Pendiente</v>
      </c>
      <c r="AF36" s="512"/>
      <c r="AG36" s="241"/>
    </row>
    <row r="37" spans="1:35" ht="217.5" customHeight="1" thickBot="1" x14ac:dyDescent="0.5">
      <c r="B37" s="536"/>
      <c r="C37" s="527"/>
      <c r="D37" s="530"/>
      <c r="E37" s="228" t="s">
        <v>362</v>
      </c>
      <c r="F37" s="233" t="s">
        <v>102</v>
      </c>
      <c r="G37" s="40" t="s">
        <v>80</v>
      </c>
      <c r="H37" s="192" t="e">
        <f t="shared" si="0"/>
        <v>#N/A</v>
      </c>
      <c r="I37" s="193">
        <v>2</v>
      </c>
      <c r="J37" s="25" t="s">
        <v>80</v>
      </c>
      <c r="K37" s="192" t="e">
        <f t="shared" si="1"/>
        <v>#N/A</v>
      </c>
      <c r="L37" s="193">
        <v>1</v>
      </c>
      <c r="M37" s="25" t="s">
        <v>80</v>
      </c>
      <c r="N37" s="192" t="e">
        <f t="shared" si="2"/>
        <v>#N/A</v>
      </c>
      <c r="O37" s="193">
        <v>2</v>
      </c>
      <c r="P37" s="25" t="s">
        <v>80</v>
      </c>
      <c r="Q37" s="192" t="e">
        <f t="shared" si="3"/>
        <v>#N/A</v>
      </c>
      <c r="R37" s="194">
        <v>2</v>
      </c>
      <c r="S37" s="234" t="str">
        <f t="shared" si="9"/>
        <v>-</v>
      </c>
      <c r="T37" s="180">
        <f t="shared" si="4"/>
        <v>10</v>
      </c>
      <c r="U37" s="55" t="str">
        <f t="shared" si="8"/>
        <v>Pendiente</v>
      </c>
      <c r="V37" s="16" t="str">
        <f>IF(COUNTIF(U19:U37, "Pendiente") &gt; 0,"Pendiente",IF(U37="No aplica","No aplica",IF(U37&gt;=100%,"Muy Bajo",IF(U37&gt;=80%,"Bajo",IF(U37&gt;=60%,"Medio",IF(U37&gt;=40%,"Alto","Muy Alto"))))))</f>
        <v>Pendiente</v>
      </c>
      <c r="W37" s="183" t="str">
        <f t="shared" si="5"/>
        <v>Pendiente</v>
      </c>
      <c r="X37" s="519"/>
      <c r="Y37" s="17" t="str">
        <f t="shared" si="10"/>
        <v>Pendiente</v>
      </c>
      <c r="Z37" s="235">
        <v>1</v>
      </c>
      <c r="AA37" s="537"/>
      <c r="AB37" s="236" t="s">
        <v>331</v>
      </c>
      <c r="AC37" s="237" t="str">
        <f t="shared" si="6"/>
        <v>Pendiente</v>
      </c>
      <c r="AD37" s="249"/>
      <c r="AE37" s="238" t="str">
        <f t="shared" si="7"/>
        <v>Pendiente</v>
      </c>
      <c r="AF37" s="511"/>
      <c r="AG37" s="242"/>
    </row>
    <row r="38" spans="1:35" hidden="1" x14ac:dyDescent="0.45">
      <c r="F38" s="547"/>
      <c r="G38" s="555"/>
      <c r="H38" s="555"/>
      <c r="I38" s="555"/>
      <c r="J38" s="555"/>
      <c r="K38" s="555"/>
      <c r="L38" s="555"/>
      <c r="M38" s="555"/>
      <c r="N38" s="555"/>
      <c r="O38" s="555"/>
      <c r="P38" s="555"/>
      <c r="Q38" s="555"/>
      <c r="R38" s="555"/>
      <c r="S38" s="548"/>
      <c r="T38" s="548"/>
      <c r="U38" s="548"/>
      <c r="V38" s="548"/>
      <c r="W38" s="548"/>
      <c r="X38" s="548"/>
      <c r="Y38" s="548"/>
      <c r="Z38" s="548"/>
      <c r="AA38" s="548"/>
      <c r="AB38" s="548"/>
      <c r="AC38" s="548"/>
      <c r="AD38" s="548"/>
      <c r="AE38" s="549"/>
      <c r="AF38" s="556" t="str">
        <f>IF($G$3="No","No aplica",IF(COUNTIF(AF19:AF37,"Pendiente")&gt;0,"Pendiente",IF(AND(V27="Muy Alto",AD27="No",V28="Muy Alto",AD28="No",V31="Muy Alto",AD31="No"),90%+SUM(AF19:AF26,AF34:AF37)*0.9/(48.33-10.8-10.8-6.48),IF(AND(V27="Muy Alto",AD27="No",V28="Muy Alto",AD28="No"),60%+SUM(AF19:AF26,AF29:AF37)*0.9/(48.33-10.8-10.8),IF(AND(V27="Muy Alto",AD27="No",V31="Muy Alto",AD31="No"),60%+SUM(AF19:AF26,AF28,AF34:AF37)*0.9/(48.33-10.8-6.48),IF(AND(V28="Muy Alto",AD28="No",V31="Muy Alto",AD31="No"),60%+SUM(AF19:AF27,AF34:AF37)*0.9/(48.33-10.8-6.48),IF(AND(V27="Muy Alto",AD27="No"),30%+SUM(AF19:AF26,AF28:AF37)*0.9/(48.33-10.8),IF(AND(V28="Muy Alto",AD28="No"),30%+SUM(AF19:AF27,AF29:AF37)*0.9/(48.33-10.8),IF(AND(V31="Muy Alto",AD31="No"),30%+SUM(AF19:AF28,AF34:AF37)*0.9/(48.33-6.48),SUM(AF19:AF37)*0.9/48.33)))))))))</f>
        <v>Pendiente</v>
      </c>
    </row>
    <row r="39" spans="1:35" ht="19" hidden="1" thickBot="1" x14ac:dyDescent="0.5">
      <c r="F39" s="550"/>
      <c r="G39" s="551"/>
      <c r="H39" s="551"/>
      <c r="I39" s="551"/>
      <c r="J39" s="551"/>
      <c r="K39" s="551"/>
      <c r="L39" s="551"/>
      <c r="M39" s="551"/>
      <c r="N39" s="551"/>
      <c r="O39" s="551"/>
      <c r="P39" s="551"/>
      <c r="Q39" s="551"/>
      <c r="R39" s="551"/>
      <c r="S39" s="551"/>
      <c r="T39" s="551"/>
      <c r="U39" s="551"/>
      <c r="V39" s="551"/>
      <c r="W39" s="551"/>
      <c r="X39" s="551"/>
      <c r="Y39" s="551"/>
      <c r="Z39" s="551"/>
      <c r="AA39" s="551"/>
      <c r="AB39" s="551"/>
      <c r="AC39" s="551"/>
      <c r="AD39" s="551"/>
      <c r="AE39" s="552"/>
      <c r="AF39" s="554"/>
    </row>
    <row r="40" spans="1:35" x14ac:dyDescent="0.45">
      <c r="F40" s="547" t="s">
        <v>365</v>
      </c>
      <c r="G40" s="548"/>
      <c r="H40" s="548"/>
      <c r="I40" s="548"/>
      <c r="J40" s="548"/>
      <c r="K40" s="548"/>
      <c r="L40" s="548"/>
      <c r="M40" s="548"/>
      <c r="N40" s="548"/>
      <c r="O40" s="548"/>
      <c r="P40" s="548"/>
      <c r="Q40" s="548"/>
      <c r="R40" s="548"/>
      <c r="S40" s="548"/>
      <c r="T40" s="548"/>
      <c r="U40" s="548"/>
      <c r="V40" s="548"/>
      <c r="W40" s="548"/>
      <c r="X40" s="548"/>
      <c r="Y40" s="548"/>
      <c r="Z40" s="548"/>
      <c r="AA40" s="548"/>
      <c r="AB40" s="548"/>
      <c r="AC40" s="548"/>
      <c r="AD40" s="548"/>
      <c r="AE40" s="549"/>
      <c r="AF40" s="553" t="str">
        <f>IF(COUNTIF(AD19:AD37,"")&gt;0,"Pendiente",IF($G$3="No","No aplica",IF(COUNTIF(AF19:AF37,"Pendiente")&gt;0,"Pendiente",IF(AF38&gt;=90%,90%,AF38))))</f>
        <v>Pendiente</v>
      </c>
    </row>
    <row r="41" spans="1:35" ht="19" thickBot="1" x14ac:dyDescent="0.5">
      <c r="F41" s="550"/>
      <c r="G41" s="551"/>
      <c r="H41" s="551"/>
      <c r="I41" s="551"/>
      <c r="J41" s="551"/>
      <c r="K41" s="551"/>
      <c r="L41" s="551"/>
      <c r="M41" s="551"/>
      <c r="N41" s="551"/>
      <c r="O41" s="551"/>
      <c r="P41" s="551"/>
      <c r="Q41" s="551"/>
      <c r="R41" s="551"/>
      <c r="S41" s="551"/>
      <c r="T41" s="551"/>
      <c r="U41" s="551"/>
      <c r="V41" s="551"/>
      <c r="W41" s="551"/>
      <c r="X41" s="551"/>
      <c r="Y41" s="551"/>
      <c r="Z41" s="551"/>
      <c r="AA41" s="551"/>
      <c r="AB41" s="551"/>
      <c r="AC41" s="551"/>
      <c r="AD41" s="551"/>
      <c r="AE41" s="552"/>
      <c r="AF41" s="554"/>
    </row>
    <row r="42" spans="1:35" x14ac:dyDescent="0.45">
      <c r="AC42" s="117"/>
      <c r="AD42" s="117"/>
    </row>
    <row r="43" spans="1:35" x14ac:dyDescent="0.45">
      <c r="AC43" s="117"/>
      <c r="AD43" s="117"/>
    </row>
    <row r="44" spans="1:35" x14ac:dyDescent="0.45">
      <c r="A44" s="497"/>
      <c r="B44" s="497"/>
      <c r="C44" s="497"/>
      <c r="D44" s="498"/>
      <c r="E44" s="497"/>
      <c r="AC44" s="117"/>
      <c r="AD44" s="117"/>
    </row>
    <row r="45" spans="1:35" x14ac:dyDescent="0.45">
      <c r="A45" s="497"/>
      <c r="B45" s="499" t="s">
        <v>80</v>
      </c>
      <c r="C45" s="497"/>
      <c r="D45" s="498"/>
      <c r="E45" s="497"/>
      <c r="AC45" s="117"/>
      <c r="AD45" s="117"/>
    </row>
    <row r="46" spans="1:35" x14ac:dyDescent="0.45">
      <c r="A46" s="497"/>
      <c r="B46" s="499" t="s">
        <v>44</v>
      </c>
      <c r="C46" s="497"/>
      <c r="D46" s="498"/>
      <c r="E46" s="497"/>
      <c r="AC46" s="117"/>
      <c r="AD46" s="117"/>
    </row>
    <row r="47" spans="1:35" x14ac:dyDescent="0.45">
      <c r="A47" s="497"/>
      <c r="B47" s="499" t="s">
        <v>64</v>
      </c>
      <c r="C47" s="497"/>
      <c r="D47" s="498"/>
      <c r="E47" s="497"/>
      <c r="AC47" s="117"/>
      <c r="AD47" s="117"/>
    </row>
    <row r="48" spans="1:35" x14ac:dyDescent="0.45">
      <c r="A48" s="497"/>
      <c r="B48" s="497"/>
      <c r="C48" s="497"/>
      <c r="D48" s="498"/>
      <c r="E48" s="497"/>
      <c r="AC48" s="117"/>
      <c r="AD48" s="117"/>
    </row>
    <row r="49" spans="1:30" x14ac:dyDescent="0.45">
      <c r="A49" s="497"/>
      <c r="B49" s="499" t="s">
        <v>80</v>
      </c>
      <c r="C49" s="497"/>
      <c r="D49" s="498"/>
      <c r="E49" s="497"/>
      <c r="AC49" s="117"/>
      <c r="AD49" s="117"/>
    </row>
    <row r="50" spans="1:30" x14ac:dyDescent="0.45">
      <c r="A50" s="497"/>
      <c r="B50" s="499" t="s">
        <v>44</v>
      </c>
      <c r="C50" s="498">
        <v>1</v>
      </c>
      <c r="D50" s="499" t="s">
        <v>46</v>
      </c>
      <c r="E50" s="497"/>
      <c r="W50" s="118"/>
      <c r="AC50" s="117"/>
      <c r="AD50" s="117"/>
    </row>
    <row r="51" spans="1:30" x14ac:dyDescent="0.45">
      <c r="A51" s="497"/>
      <c r="B51" s="499" t="s">
        <v>64</v>
      </c>
      <c r="C51" s="498">
        <v>3</v>
      </c>
      <c r="D51" s="497"/>
      <c r="E51" s="497"/>
    </row>
    <row r="52" spans="1:30" x14ac:dyDescent="0.45">
      <c r="A52" s="497"/>
      <c r="B52" s="497"/>
      <c r="C52" s="497"/>
      <c r="D52" s="498"/>
      <c r="E52" s="497"/>
    </row>
    <row r="53" spans="1:30" x14ac:dyDescent="0.45">
      <c r="A53" s="497"/>
      <c r="B53" s="499" t="s">
        <v>80</v>
      </c>
      <c r="C53" s="497"/>
      <c r="D53" s="498"/>
      <c r="E53" s="497"/>
    </row>
    <row r="54" spans="1:30" x14ac:dyDescent="0.45">
      <c r="A54" s="497"/>
      <c r="B54" s="499" t="s">
        <v>44</v>
      </c>
      <c r="C54" s="498">
        <v>2</v>
      </c>
      <c r="D54" s="499" t="s">
        <v>81</v>
      </c>
      <c r="E54" s="497"/>
    </row>
    <row r="55" spans="1:30" x14ac:dyDescent="0.45">
      <c r="A55" s="497"/>
      <c r="B55" s="499" t="s">
        <v>64</v>
      </c>
      <c r="C55" s="498">
        <v>0</v>
      </c>
      <c r="D55" s="497"/>
      <c r="E55" s="497"/>
    </row>
    <row r="56" spans="1:30" x14ac:dyDescent="0.45">
      <c r="A56" s="497"/>
      <c r="B56" s="497"/>
      <c r="C56" s="497"/>
      <c r="D56" s="498"/>
      <c r="E56" s="497"/>
    </row>
    <row r="57" spans="1:30" x14ac:dyDescent="0.45">
      <c r="A57" s="497"/>
      <c r="B57" s="499" t="s">
        <v>80</v>
      </c>
      <c r="C57" s="497"/>
      <c r="D57" s="498"/>
      <c r="E57" s="497"/>
    </row>
    <row r="58" spans="1:30" x14ac:dyDescent="0.45">
      <c r="A58" s="497"/>
      <c r="B58" s="499" t="s">
        <v>44</v>
      </c>
      <c r="C58" s="498">
        <v>0</v>
      </c>
      <c r="D58" s="499" t="s">
        <v>50</v>
      </c>
      <c r="E58" s="497"/>
    </row>
    <row r="59" spans="1:30" x14ac:dyDescent="0.45">
      <c r="A59" s="497"/>
      <c r="B59" s="499" t="s">
        <v>64</v>
      </c>
      <c r="C59" s="498">
        <v>1</v>
      </c>
      <c r="D59" s="497"/>
      <c r="E59" s="497"/>
    </row>
    <row r="60" spans="1:30" x14ac:dyDescent="0.45">
      <c r="A60" s="497"/>
      <c r="B60" s="497"/>
      <c r="C60" s="497"/>
      <c r="D60" s="498"/>
      <c r="E60" s="497"/>
    </row>
    <row r="61" spans="1:30" x14ac:dyDescent="0.45">
      <c r="A61" s="497"/>
      <c r="B61" s="497"/>
      <c r="C61" s="497"/>
      <c r="D61" s="498"/>
      <c r="E61" s="497"/>
    </row>
    <row r="62" spans="1:30" x14ac:dyDescent="0.45">
      <c r="A62" s="497"/>
      <c r="B62" s="499" t="s">
        <v>80</v>
      </c>
      <c r="C62" s="497"/>
      <c r="D62" s="498"/>
      <c r="E62" s="497"/>
    </row>
    <row r="63" spans="1:30" x14ac:dyDescent="0.45">
      <c r="A63" s="497"/>
      <c r="B63" s="499" t="s">
        <v>44</v>
      </c>
      <c r="C63" s="498">
        <v>0</v>
      </c>
      <c r="D63" s="499" t="s">
        <v>51</v>
      </c>
      <c r="E63" s="497"/>
    </row>
    <row r="64" spans="1:30" x14ac:dyDescent="0.45">
      <c r="A64" s="497"/>
      <c r="B64" s="499" t="s">
        <v>64</v>
      </c>
      <c r="C64" s="498">
        <v>2</v>
      </c>
      <c r="D64" s="497"/>
      <c r="E64" s="497"/>
    </row>
    <row r="65" spans="1:5" x14ac:dyDescent="0.45">
      <c r="A65" s="497"/>
      <c r="B65" s="497"/>
      <c r="C65" s="497"/>
      <c r="D65" s="498"/>
      <c r="E65" s="497"/>
    </row>
    <row r="66" spans="1:5" x14ac:dyDescent="0.45">
      <c r="A66" s="497"/>
      <c r="B66" s="497"/>
      <c r="C66" s="497"/>
      <c r="D66" s="498"/>
      <c r="E66" s="497"/>
    </row>
    <row r="67" spans="1:5" x14ac:dyDescent="0.45">
      <c r="A67" s="497"/>
      <c r="B67" s="497"/>
      <c r="C67" s="497"/>
      <c r="D67" s="498"/>
      <c r="E67" s="497"/>
    </row>
    <row r="68" spans="1:5" x14ac:dyDescent="0.45">
      <c r="A68" s="497"/>
      <c r="B68" s="497"/>
      <c r="C68" s="497"/>
      <c r="D68" s="498"/>
      <c r="E68" s="497"/>
    </row>
    <row r="69" spans="1:5" x14ac:dyDescent="0.45">
      <c r="A69" s="497"/>
      <c r="B69" s="497"/>
      <c r="C69" s="497"/>
      <c r="D69" s="498"/>
      <c r="E69" s="497"/>
    </row>
    <row r="70" spans="1:5" x14ac:dyDescent="0.45">
      <c r="A70" s="497"/>
      <c r="B70" s="497"/>
      <c r="C70" s="497"/>
      <c r="D70" s="498"/>
      <c r="E70" s="497"/>
    </row>
    <row r="71" spans="1:5" x14ac:dyDescent="0.45">
      <c r="A71" s="497"/>
      <c r="B71" s="497"/>
      <c r="C71" s="497"/>
      <c r="D71" s="498"/>
      <c r="E71" s="497"/>
    </row>
    <row r="72" spans="1:5" x14ac:dyDescent="0.45">
      <c r="A72" s="497"/>
      <c r="B72" s="497"/>
      <c r="C72" s="497"/>
      <c r="D72" s="498"/>
      <c r="E72" s="497"/>
    </row>
    <row r="73" spans="1:5" x14ac:dyDescent="0.45">
      <c r="A73" s="497"/>
      <c r="B73" s="497"/>
      <c r="C73" s="497"/>
      <c r="D73" s="498"/>
      <c r="E73" s="497"/>
    </row>
    <row r="74" spans="1:5" x14ac:dyDescent="0.45">
      <c r="A74" s="497"/>
      <c r="B74" s="497"/>
      <c r="C74" s="497"/>
      <c r="D74" s="498"/>
      <c r="E74" s="497"/>
    </row>
    <row r="75" spans="1:5" x14ac:dyDescent="0.45">
      <c r="A75" s="497"/>
      <c r="B75" s="497"/>
      <c r="C75" s="497"/>
      <c r="D75" s="498"/>
      <c r="E75" s="497"/>
    </row>
    <row r="76" spans="1:5" x14ac:dyDescent="0.45">
      <c r="A76" s="497"/>
      <c r="B76" s="497"/>
      <c r="C76" s="497"/>
      <c r="D76" s="498"/>
      <c r="E76" s="497"/>
    </row>
    <row r="77" spans="1:5" x14ac:dyDescent="0.45">
      <c r="A77" s="497"/>
      <c r="B77" s="497"/>
      <c r="C77" s="497"/>
      <c r="D77" s="498"/>
      <c r="E77" s="497"/>
    </row>
    <row r="78" spans="1:5" x14ac:dyDescent="0.45">
      <c r="A78" s="497"/>
      <c r="B78" s="497"/>
      <c r="C78" s="497"/>
      <c r="D78" s="498"/>
      <c r="E78" s="497"/>
    </row>
  </sheetData>
  <sheetProtection algorithmName="SHA-512" hashValue="XeLJi8/BPAj9HEBpgz0mHQFX+f+PJWYSnE+rstk9yhRaQUmSPRBgJUPTN1hYZbeoBrH86OLqKOp0JTnDycNESg==" saltValue="V95fIYs7a6NHdL/7FhpJbA==" spinCount="100000" sheet="1" objects="1" scenarios="1"/>
  <mergeCells count="36">
    <mergeCell ref="F40:AE41"/>
    <mergeCell ref="AF40:AF41"/>
    <mergeCell ref="AF35:AF37"/>
    <mergeCell ref="F38:AE39"/>
    <mergeCell ref="AF38:AF39"/>
    <mergeCell ref="C29:C33"/>
    <mergeCell ref="D29:D33"/>
    <mergeCell ref="AA29:AA33"/>
    <mergeCell ref="AF29:AF33"/>
    <mergeCell ref="B19:B37"/>
    <mergeCell ref="C19:C23"/>
    <mergeCell ref="D19:D23"/>
    <mergeCell ref="AA19:AA23"/>
    <mergeCell ref="C35:C37"/>
    <mergeCell ref="D35:D37"/>
    <mergeCell ref="AA35:AA37"/>
    <mergeCell ref="X29:X33"/>
    <mergeCell ref="X35:X37"/>
    <mergeCell ref="C24:C25"/>
    <mergeCell ref="D24:D25"/>
    <mergeCell ref="AA24:AA25"/>
    <mergeCell ref="AF24:AF25"/>
    <mergeCell ref="AF19:AF23"/>
    <mergeCell ref="D1:E1"/>
    <mergeCell ref="D5:E5"/>
    <mergeCell ref="D10:E10"/>
    <mergeCell ref="E18:F18"/>
    <mergeCell ref="C18:D18"/>
    <mergeCell ref="X19:X23"/>
    <mergeCell ref="AC18:AD18"/>
    <mergeCell ref="E3:F3"/>
    <mergeCell ref="E8:F8"/>
    <mergeCell ref="E12:F12"/>
    <mergeCell ref="E13:F13"/>
    <mergeCell ref="E14:F14"/>
    <mergeCell ref="E15:F15"/>
  </mergeCells>
  <phoneticPr fontId="4" type="noConversion"/>
  <conditionalFormatting sqref="F35:F37">
    <cfRule type="cellIs" dxfId="255" priority="18" stopIfTrue="1" operator="equal">
      <formula>"-"</formula>
    </cfRule>
  </conditionalFormatting>
  <conditionalFormatting sqref="G3">
    <cfRule type="cellIs" dxfId="254" priority="91" stopIfTrue="1" operator="equal">
      <formula>"-"</formula>
    </cfRule>
  </conditionalFormatting>
  <conditionalFormatting sqref="G8">
    <cfRule type="cellIs" dxfId="253" priority="31" stopIfTrue="1" operator="equal">
      <formula>"-"</formula>
    </cfRule>
  </conditionalFormatting>
  <conditionalFormatting sqref="G19:Q37">
    <cfRule type="cellIs" dxfId="252" priority="11" stopIfTrue="1" operator="equal">
      <formula>"-"</formula>
    </cfRule>
  </conditionalFormatting>
  <conditionalFormatting sqref="U19:U37">
    <cfRule type="expression" dxfId="251" priority="37">
      <formula>+$U19="pendiente"</formula>
    </cfRule>
  </conditionalFormatting>
  <conditionalFormatting sqref="V19:V37">
    <cfRule type="expression" dxfId="250" priority="89">
      <formula>+$V19="Muy Bajo"</formula>
    </cfRule>
    <cfRule type="expression" dxfId="249" priority="88">
      <formula>+$V19="Bajo"</formula>
    </cfRule>
    <cfRule type="expression" dxfId="248" priority="87">
      <formula>+$V19="Medio"</formula>
    </cfRule>
    <cfRule type="expression" dxfId="247" priority="86">
      <formula>+$V19="Alto"</formula>
    </cfRule>
    <cfRule type="expression" dxfId="246" priority="85">
      <formula>+$V19="Muy Alto"</formula>
    </cfRule>
    <cfRule type="expression" dxfId="245" priority="38">
      <formula>+$V19="pendiente"</formula>
    </cfRule>
  </conditionalFormatting>
  <conditionalFormatting sqref="W19:W37">
    <cfRule type="expression" dxfId="244" priority="36">
      <formula>+$W19="pendiente"</formula>
    </cfRule>
  </conditionalFormatting>
  <conditionalFormatting sqref="Y19:Y37">
    <cfRule type="expression" dxfId="243" priority="74">
      <formula>+$Y19="pendiente"</formula>
    </cfRule>
  </conditionalFormatting>
  <conditionalFormatting sqref="AA19:AA24">
    <cfRule type="expression" dxfId="242" priority="25">
      <formula>+$AA19="pendiente"</formula>
    </cfRule>
  </conditionalFormatting>
  <conditionalFormatting sqref="AA26:AA37">
    <cfRule type="expression" dxfId="241" priority="34">
      <formula>+$AA26="pendiente"</formula>
    </cfRule>
  </conditionalFormatting>
  <conditionalFormatting sqref="AC19:AC37">
    <cfRule type="cellIs" dxfId="240" priority="12" operator="equal">
      <formula>"En la siguiente columna responda NO"</formula>
    </cfRule>
  </conditionalFormatting>
  <conditionalFormatting sqref="AD19:AD37">
    <cfRule type="cellIs" dxfId="239" priority="73" operator="equal">
      <formula>"Sí"</formula>
    </cfRule>
    <cfRule type="cellIs" dxfId="238" priority="72" operator="equal">
      <formula>"No"</formula>
    </cfRule>
  </conditionalFormatting>
  <conditionalFormatting sqref="AE19:AF19 AE20:AE37 AF26:AF37">
    <cfRule type="expression" dxfId="237" priority="33">
      <formula>+$AE19="pendiente"</formula>
    </cfRule>
  </conditionalFormatting>
  <conditionalFormatting sqref="AF19:AF23 AF26:AF37">
    <cfRule type="cellIs" dxfId="236" priority="523" operator="between">
      <formula>5.4</formula>
      <formula>10.8</formula>
    </cfRule>
    <cfRule type="colorScale" priority="524">
      <colorScale>
        <cfvo type="min"/>
        <cfvo type="percentile" val="50"/>
        <cfvo type="max"/>
        <color rgb="FFF8696B"/>
        <color rgb="FFFFEB84"/>
        <color rgb="FF63BE7B"/>
      </colorScale>
    </cfRule>
    <cfRule type="cellIs" dxfId="235" priority="520" operator="between">
      <formula>0</formula>
      <formula>1.3499999</formula>
    </cfRule>
    <cfRule type="cellIs" dxfId="234" priority="521" operator="between">
      <formula>1.35</formula>
      <formula>2.699999999</formula>
    </cfRule>
    <cfRule type="cellIs" dxfId="233" priority="522" operator="between">
      <formula>2.7</formula>
      <formula>5.39999999</formula>
    </cfRule>
  </conditionalFormatting>
  <conditionalFormatting sqref="AF19:AF41">
    <cfRule type="cellIs" dxfId="232" priority="1" operator="equal">
      <formula>"pendiente"</formula>
    </cfRule>
  </conditionalFormatting>
  <conditionalFormatting sqref="AF20:AF24">
    <cfRule type="expression" dxfId="231" priority="19">
      <formula>+$AE20="pendiente"</formula>
    </cfRule>
  </conditionalFormatting>
  <conditionalFormatting sqref="AF24">
    <cfRule type="cellIs" dxfId="230" priority="20" operator="between">
      <formula>0</formula>
      <formula>1.34999999</formula>
    </cfRule>
    <cfRule type="colorScale" priority="24">
      <colorScale>
        <cfvo type="min"/>
        <cfvo type="percentile" val="50"/>
        <cfvo type="max"/>
        <color rgb="FFF8696B"/>
        <color rgb="FFFFEB84"/>
        <color rgb="FF63BE7B"/>
      </colorScale>
    </cfRule>
    <cfRule type="cellIs" dxfId="229" priority="23" operator="between">
      <formula>5.4</formula>
      <formula>10.8</formula>
    </cfRule>
    <cfRule type="cellIs" dxfId="228" priority="22" operator="between">
      <formula>2.7</formula>
      <formula>5.3999999</formula>
    </cfRule>
    <cfRule type="cellIs" dxfId="227" priority="21" operator="between">
      <formula>1.35</formula>
      <formula>2.699999999</formula>
    </cfRule>
  </conditionalFormatting>
  <conditionalFormatting sqref="AF38">
    <cfRule type="cellIs" dxfId="226" priority="17" operator="between">
      <formula>0.5</formula>
      <formula>500</formula>
    </cfRule>
    <cfRule type="cellIs" dxfId="225" priority="16" operator="between">
      <formula>0.25</formula>
      <formula>0.49999</formula>
    </cfRule>
    <cfRule type="cellIs" dxfId="224" priority="15" operator="between">
      <formula>0.1</formula>
      <formula>0.24999999</formula>
    </cfRule>
    <cfRule type="cellIs" dxfId="223" priority="14" operator="between">
      <formula>0</formula>
      <formula>0.0999</formula>
    </cfRule>
    <cfRule type="containsText" dxfId="222" priority="13" operator="containsText" text="pendiente">
      <formula>NOT(ISERROR(SEARCH("pendiente",AF38)))</formula>
    </cfRule>
  </conditionalFormatting>
  <conditionalFormatting sqref="AF40">
    <cfRule type="cellIs" dxfId="221" priority="2" operator="between">
      <formula>0</formula>
      <formula>0.09999</formula>
    </cfRule>
    <cfRule type="cellIs" dxfId="220" priority="5" operator="between">
      <formula>0.5</formula>
      <formula>100</formula>
    </cfRule>
    <cfRule type="cellIs" dxfId="219" priority="4" operator="between">
      <formula>0.25</formula>
      <formula>0.499999</formula>
    </cfRule>
    <cfRule type="cellIs" dxfId="218" priority="3" operator="between">
      <formula>0.1</formula>
      <formula>0.249999</formula>
    </cfRule>
  </conditionalFormatting>
  <dataValidations count="5">
    <dataValidation type="list" allowBlank="1" showInputMessage="1" showErrorMessage="1" sqref="G3" xr:uid="{C37FB2C4-6A6C-4ACF-9D6D-8D96C0F14DBE}">
      <formula1>$B$45:$B$47</formula1>
    </dataValidation>
    <dataValidation type="list" allowBlank="1" showInputMessage="1" showErrorMessage="1" sqref="G8" xr:uid="{930229D6-01D2-4472-9D8A-27C1D96D9A5E}">
      <formula1>$B$49:$B$51</formula1>
    </dataValidation>
    <dataValidation type="list" allowBlank="1" showInputMessage="1" showErrorMessage="1" sqref="F9:F11" xr:uid="{E013FF08-0DF7-46EA-986F-7038BCA94334}">
      <formula1>#REF!</formula1>
    </dataValidation>
    <dataValidation type="list" allowBlank="1" showInputMessage="1" showErrorMessage="1" sqref="M19:M37 J19:J37 G19:G37 P19:P37" xr:uid="{47FDDCA8-0DD4-442F-B3F4-61CEDDF36FCE}">
      <formula1>$B$57:$B$59</formula1>
    </dataValidation>
    <dataValidation type="list" allowBlank="1" showInputMessage="1" showErrorMessage="1" sqref="AD19:AD37" xr:uid="{9CD34D98-E413-4AA2-84E3-BE2A3B7E4DF9}">
      <formula1>"Sí,No"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2678F-E386-4E83-87CF-57D120855AF9}">
  <dimension ref="A1:AI111"/>
  <sheetViews>
    <sheetView showGridLines="0" tabSelected="1" topLeftCell="A13" zoomScale="25" zoomScaleNormal="25" workbookViewId="0">
      <selection activeCell="AB15" sqref="AB15"/>
    </sheetView>
  </sheetViews>
  <sheetFormatPr defaultColWidth="8.7265625" defaultRowHeight="18.5" x14ac:dyDescent="0.45"/>
  <cols>
    <col min="1" max="3" width="8.7265625" style="115"/>
    <col min="4" max="4" width="22" style="239" customWidth="1"/>
    <col min="5" max="5" width="100" style="115" customWidth="1"/>
    <col min="6" max="6" width="6.7265625" style="115" customWidth="1"/>
    <col min="7" max="7" width="8.7265625" style="115" customWidth="1"/>
    <col min="8" max="8" width="8.7265625" style="115" hidden="1" customWidth="1"/>
    <col min="9" max="9" width="10.81640625" style="115" hidden="1" customWidth="1"/>
    <col min="10" max="10" width="8.7265625" style="115" customWidth="1"/>
    <col min="11" max="12" width="8.7265625" style="115" hidden="1" customWidth="1"/>
    <col min="13" max="13" width="8.7265625" style="115" customWidth="1"/>
    <col min="14" max="15" width="8.7265625" style="115" hidden="1" customWidth="1"/>
    <col min="16" max="16" width="8.7265625" style="115" customWidth="1"/>
    <col min="17" max="18" width="8.7265625" style="115" hidden="1" customWidth="1"/>
    <col min="19" max="20" width="14.453125" style="115" hidden="1" customWidth="1"/>
    <col min="21" max="21" width="8.08984375" style="115" hidden="1" customWidth="1"/>
    <col min="22" max="22" width="19" style="115" customWidth="1"/>
    <col min="23" max="23" width="25.6328125" style="115" customWidth="1"/>
    <col min="24" max="24" width="26.6328125" style="115" customWidth="1"/>
    <col min="25" max="25" width="23" style="115" customWidth="1"/>
    <col min="26" max="26" width="23.1796875" style="250" bestFit="1" customWidth="1"/>
    <col min="27" max="27" width="18.81640625" style="251" customWidth="1"/>
    <col min="28" max="28" width="84.54296875" style="115" customWidth="1"/>
    <col min="29" max="29" width="59.1796875" style="115" customWidth="1"/>
    <col min="30" max="30" width="28.1796875" style="252" customWidth="1"/>
    <col min="31" max="31" width="23.26953125" style="115" customWidth="1"/>
    <col min="32" max="32" width="19.7265625" style="115" customWidth="1"/>
    <col min="33" max="33" width="31.81640625" style="115" customWidth="1"/>
    <col min="34" max="16384" width="8.7265625" style="115"/>
  </cols>
  <sheetData>
    <row r="1" spans="3:31" x14ac:dyDescent="0.45">
      <c r="D1" s="513" t="s">
        <v>343</v>
      </c>
      <c r="E1" s="513"/>
      <c r="F1" s="117"/>
      <c r="G1" s="117"/>
      <c r="H1" s="117"/>
    </row>
    <row r="2" spans="3:31" x14ac:dyDescent="0.45">
      <c r="D2" s="115"/>
      <c r="G2" s="122" t="s">
        <v>43</v>
      </c>
      <c r="H2" s="117"/>
      <c r="I2" s="117"/>
    </row>
    <row r="3" spans="3:31" x14ac:dyDescent="0.45">
      <c r="D3" s="123" t="s">
        <v>43</v>
      </c>
      <c r="E3" s="523" t="s">
        <v>426</v>
      </c>
      <c r="F3" s="523"/>
      <c r="G3" s="9" t="s">
        <v>80</v>
      </c>
      <c r="H3" s="117"/>
      <c r="I3" s="117"/>
    </row>
    <row r="4" spans="3:31" x14ac:dyDescent="0.45">
      <c r="D4" s="115"/>
      <c r="G4" s="117"/>
      <c r="H4" s="117"/>
      <c r="I4" s="117"/>
    </row>
    <row r="5" spans="3:31" x14ac:dyDescent="0.45">
      <c r="D5" s="513" t="s">
        <v>45</v>
      </c>
      <c r="E5" s="513"/>
      <c r="G5" s="117"/>
      <c r="H5" s="117"/>
      <c r="I5" s="117"/>
    </row>
    <row r="6" spans="3:31" x14ac:dyDescent="0.45">
      <c r="D6" s="116"/>
      <c r="E6" s="116"/>
      <c r="G6" s="117"/>
      <c r="H6" s="117"/>
      <c r="I6" s="117"/>
    </row>
    <row r="7" spans="3:31" x14ac:dyDescent="0.45">
      <c r="D7" s="115"/>
      <c r="G7" s="122" t="s">
        <v>46</v>
      </c>
      <c r="H7" s="117"/>
      <c r="I7" s="117"/>
    </row>
    <row r="8" spans="3:31" ht="110.15" customHeight="1" x14ac:dyDescent="0.45">
      <c r="D8" s="123" t="s">
        <v>46</v>
      </c>
      <c r="E8" s="524" t="s">
        <v>507</v>
      </c>
      <c r="F8" s="524"/>
      <c r="G8" s="9" t="s">
        <v>80</v>
      </c>
      <c r="H8" s="124" t="e">
        <f>VLOOKUP(G8,$B$92:$C$93,2,0)</f>
        <v>#N/A</v>
      </c>
      <c r="I8" s="124">
        <v>3</v>
      </c>
    </row>
    <row r="9" spans="3:31" x14ac:dyDescent="0.45">
      <c r="D9" s="125"/>
      <c r="E9" s="126"/>
      <c r="F9" s="127"/>
      <c r="G9" s="117"/>
      <c r="H9" s="117"/>
    </row>
    <row r="10" spans="3:31" x14ac:dyDescent="0.45">
      <c r="D10" s="514" t="s">
        <v>47</v>
      </c>
      <c r="E10" s="514"/>
      <c r="F10" s="127"/>
      <c r="G10" s="117"/>
      <c r="H10" s="117"/>
    </row>
    <row r="11" spans="3:31" x14ac:dyDescent="0.45">
      <c r="D11" s="125"/>
      <c r="E11" s="126"/>
      <c r="F11" s="127"/>
      <c r="G11" s="117"/>
      <c r="H11" s="117"/>
    </row>
    <row r="12" spans="3:31" ht="37" customHeight="1" x14ac:dyDescent="0.45">
      <c r="D12" s="128" t="s">
        <v>48</v>
      </c>
      <c r="E12" s="524" t="s">
        <v>49</v>
      </c>
      <c r="F12" s="524"/>
      <c r="G12" s="253"/>
      <c r="H12" s="253"/>
      <c r="M12" s="117"/>
    </row>
    <row r="13" spans="3:31" ht="121" customHeight="1" x14ac:dyDescent="0.45">
      <c r="D13" s="130" t="s">
        <v>50</v>
      </c>
      <c r="E13" s="524" t="s">
        <v>533</v>
      </c>
      <c r="F13" s="524"/>
      <c r="G13" s="253"/>
      <c r="H13" s="253"/>
    </row>
    <row r="14" spans="3:31" ht="124" customHeight="1" x14ac:dyDescent="0.45">
      <c r="D14" s="131" t="s">
        <v>51</v>
      </c>
      <c r="E14" s="524" t="s">
        <v>363</v>
      </c>
      <c r="F14" s="524"/>
      <c r="G14" s="253"/>
      <c r="H14" s="253"/>
    </row>
    <row r="15" spans="3:31" ht="46.5" customHeight="1" x14ac:dyDescent="0.45">
      <c r="D15" s="132" t="s">
        <v>52</v>
      </c>
      <c r="E15" s="524" t="s">
        <v>53</v>
      </c>
      <c r="F15" s="524"/>
      <c r="G15" s="253"/>
      <c r="H15" s="253"/>
    </row>
    <row r="16" spans="3:31" x14ac:dyDescent="0.45">
      <c r="C16" s="117"/>
      <c r="D16" s="133"/>
      <c r="E16" s="117"/>
      <c r="F16" s="117"/>
      <c r="G16" s="117"/>
      <c r="H16" s="117"/>
      <c r="I16" s="117"/>
      <c r="J16" s="117"/>
      <c r="K16" s="117"/>
      <c r="L16" s="117"/>
      <c r="M16" s="117"/>
      <c r="N16" s="117"/>
      <c r="O16" s="117"/>
      <c r="P16" s="117"/>
      <c r="Q16" s="117"/>
      <c r="R16" s="117"/>
      <c r="S16" s="117"/>
      <c r="T16" s="117"/>
      <c r="AA16" s="254"/>
      <c r="AB16" s="117"/>
      <c r="AC16" s="117"/>
      <c r="AD16" s="120"/>
      <c r="AE16" s="117"/>
    </row>
    <row r="17" spans="2:35" ht="19" thickBot="1" x14ac:dyDescent="0.5">
      <c r="C17" s="117"/>
      <c r="D17" s="133"/>
      <c r="E17" s="117"/>
      <c r="F17" s="117"/>
      <c r="G17" s="117"/>
      <c r="H17" s="117"/>
      <c r="I17" s="117"/>
      <c r="J17" s="117"/>
      <c r="K17" s="117"/>
      <c r="L17" s="117"/>
      <c r="M17" s="117"/>
      <c r="N17" s="117"/>
      <c r="O17" s="117"/>
      <c r="P17" s="117"/>
      <c r="Q17" s="117"/>
      <c r="R17" s="117"/>
      <c r="S17" s="117"/>
      <c r="T17" s="117"/>
      <c r="AA17" s="254"/>
      <c r="AB17" s="117"/>
      <c r="AC17" s="117"/>
      <c r="AD17" s="120"/>
      <c r="AE17" s="117"/>
    </row>
    <row r="18" spans="2:35" ht="86.15" customHeight="1" thickBot="1" x14ac:dyDescent="0.5">
      <c r="C18" s="515" t="s">
        <v>364</v>
      </c>
      <c r="D18" s="565"/>
      <c r="E18" s="515" t="s">
        <v>341</v>
      </c>
      <c r="F18" s="516"/>
      <c r="G18" s="137" t="s">
        <v>48</v>
      </c>
      <c r="H18" s="138"/>
      <c r="I18" s="138"/>
      <c r="J18" s="139" t="s">
        <v>50</v>
      </c>
      <c r="K18" s="138"/>
      <c r="L18" s="138"/>
      <c r="M18" s="136" t="s">
        <v>51</v>
      </c>
      <c r="N18" s="138"/>
      <c r="O18" s="138"/>
      <c r="P18" s="140" t="s">
        <v>52</v>
      </c>
      <c r="Q18" s="141"/>
      <c r="R18" s="255"/>
      <c r="S18" s="143" t="s">
        <v>54</v>
      </c>
      <c r="T18" s="138" t="s">
        <v>55</v>
      </c>
      <c r="U18" s="138" t="s">
        <v>56</v>
      </c>
      <c r="V18" s="138" t="s">
        <v>57</v>
      </c>
      <c r="W18" s="144" t="s">
        <v>58</v>
      </c>
      <c r="X18" s="145" t="s">
        <v>508</v>
      </c>
      <c r="Y18" s="146" t="s">
        <v>546</v>
      </c>
      <c r="Z18" s="256" t="s">
        <v>532</v>
      </c>
      <c r="AA18" s="257" t="s">
        <v>59</v>
      </c>
      <c r="AB18" s="149" t="s">
        <v>17</v>
      </c>
      <c r="AC18" s="557" t="s">
        <v>509</v>
      </c>
      <c r="AD18" s="558"/>
      <c r="AE18" s="150" t="s">
        <v>60</v>
      </c>
      <c r="AF18" s="151" t="s">
        <v>61</v>
      </c>
      <c r="AG18" s="152" t="s">
        <v>62</v>
      </c>
    </row>
    <row r="19" spans="2:35" ht="270" customHeight="1" x14ac:dyDescent="0.45">
      <c r="B19" s="534" t="s">
        <v>198</v>
      </c>
      <c r="C19" s="525">
        <v>1</v>
      </c>
      <c r="D19" s="559" t="s">
        <v>157</v>
      </c>
      <c r="E19" s="258" t="s">
        <v>370</v>
      </c>
      <c r="F19" s="155" t="s">
        <v>63</v>
      </c>
      <c r="G19" s="35" t="s">
        <v>80</v>
      </c>
      <c r="H19" s="157" t="e">
        <f t="shared" ref="H19:H59" si="0">VLOOKUP(G19,$B$96:$C$97,2,0)</f>
        <v>#N/A</v>
      </c>
      <c r="I19" s="158">
        <v>2</v>
      </c>
      <c r="J19" s="10" t="s">
        <v>80</v>
      </c>
      <c r="K19" s="157" t="e">
        <f t="shared" ref="K19:K59" si="1">VLOOKUP(J19,$B$100:$C$101,2,0)</f>
        <v>#N/A</v>
      </c>
      <c r="L19" s="158">
        <v>1</v>
      </c>
      <c r="M19" s="10" t="s">
        <v>80</v>
      </c>
      <c r="N19" s="259" t="e">
        <f t="shared" ref="N19:N59" si="2">VLOOKUP(M19,$B$105:$C$106,2,0)</f>
        <v>#N/A</v>
      </c>
      <c r="O19" s="158">
        <v>2</v>
      </c>
      <c r="P19" s="10" t="s">
        <v>80</v>
      </c>
      <c r="Q19" s="157" t="e">
        <f t="shared" ref="Q19:Q59" si="3">VLOOKUP(P19,$B$96:$C$97,2,0)</f>
        <v>#N/A</v>
      </c>
      <c r="R19" s="159">
        <v>2</v>
      </c>
      <c r="S19" s="156" t="str">
        <f t="shared" ref="S19:S59" si="4">IF($G$3="NO","No aplica", IF($G$3="-","-", IF($G$8="-","-",IF(G19="-","-",IF(J19="-","-",IF(M19="-","-",IF(P19="-","-",SUM($H$8,H19,K19,N19,Q19))))))))</f>
        <v>-</v>
      </c>
      <c r="T19" s="157">
        <f t="shared" ref="T19:T59" si="5">SUM($I$8,I19,L19,O19,R19)</f>
        <v>10</v>
      </c>
      <c r="U19" s="18" t="str">
        <f t="shared" ref="U19:U46" si="6">IF(S19="-","Pendiente",IF(S19="No aplica","No aplica",+S19/T19))</f>
        <v>Pendiente</v>
      </c>
      <c r="V19" s="11" t="str">
        <f>IF(COUNTIF(U19:U59, "Pendiente") &gt; 0,"Pendiente",IF(U19="No aplica","No aplica",IF(U19&gt;=100%,"Muy Bajo",IF(U19&gt;=80%,"Bajo",IF(U19&gt;=60%,"Medio",IF(U19&gt;=40%,"Alto","Muy Alto"))))))</f>
        <v>Pendiente</v>
      </c>
      <c r="W19" s="160" t="str">
        <f t="shared" ref="W19:W59" si="7">+IF($G$3="No","No aplica",IF(V19="Pendiente","Pendiente",IF(V19="Muy Bajo",5%,IF(V19="Bajo",30%,IF(V19="Medio",50%,IF(V19="Alto",70%,90%))))))</f>
        <v>Pendiente</v>
      </c>
      <c r="X19" s="580">
        <v>2</v>
      </c>
      <c r="Y19" s="12" t="str">
        <f>+W19</f>
        <v>Pendiente</v>
      </c>
      <c r="Z19" s="260">
        <v>3</v>
      </c>
      <c r="AA19" s="531" t="str">
        <f>IF($G$3="No","No aplica",+IF(COUNTIF(Y19:Y26,"Pendiente")&gt;0,"Pendiente",AVERAGE(4*Y19*Z19,4*Y20*1.5,4*Y21*1.5,4*Y22*Z22,4*Y23*1.5,4*Y24*1.5,4*Y25*1.5,4*Y26*1.5)))</f>
        <v>Pendiente</v>
      </c>
      <c r="AB19" s="261" t="s">
        <v>510</v>
      </c>
      <c r="AC19" s="153" t="str">
        <f t="shared" ref="AC19:AC45" si="8">IF($G$3="No","No aplica",IF(OR($G$8="-",G19="-",J19="-",M19="-",P19="-"),"Pendiente",IF(AND(G19="No",J19="Sí",M19="Sí",P19="No"),"En la siguiente columna responda NO", "Responda a la pregunta en la siguiente columna ----&gt;")))</f>
        <v>Pendiente</v>
      </c>
      <c r="AD19" s="325"/>
      <c r="AE19" s="262" t="str">
        <f>+IF(Y19="No aplica","No aplica",+IF(AND(AC19="En la siguiente columna responda NO",AD19="No"),Y19,IF(AND(AC19="En la siguiente columna responda NO",AD19="Sí"),"Responda No en la pregunta anterior",IF(AD19="SÍ",Y19/2,Y19))))</f>
        <v>Pendiente</v>
      </c>
      <c r="AF19" s="510" t="str">
        <f>IF($G$3="No","No aplica",+IF(AA19="Pendiente","Pendiente",IF(COUNTIF(AD19:AD59,"")&gt;0,"Pendiente",AVERAGE(4*AE19*Z19,4*AE20*1.5,4*AE21*1.5,4*AE22*Z22,4*AE23*1.5,4*AE24*1.5,4*AE25*1.5,4*AE26*1.5))))</f>
        <v>Pendiente</v>
      </c>
      <c r="AG19" s="240"/>
      <c r="AI19" s="118"/>
    </row>
    <row r="20" spans="2:35" ht="204.65" customHeight="1" x14ac:dyDescent="0.45">
      <c r="B20" s="535"/>
      <c r="C20" s="526"/>
      <c r="D20" s="560"/>
      <c r="E20" s="263" t="s">
        <v>371</v>
      </c>
      <c r="F20" s="167" t="s">
        <v>83</v>
      </c>
      <c r="G20" s="36" t="s">
        <v>80</v>
      </c>
      <c r="H20" s="124" t="e">
        <f t="shared" si="0"/>
        <v>#N/A</v>
      </c>
      <c r="I20" s="169">
        <v>2</v>
      </c>
      <c r="J20" s="9" t="s">
        <v>80</v>
      </c>
      <c r="K20" s="124" t="e">
        <f t="shared" si="1"/>
        <v>#N/A</v>
      </c>
      <c r="L20" s="169">
        <v>1</v>
      </c>
      <c r="M20" s="9" t="s">
        <v>80</v>
      </c>
      <c r="N20" s="264" t="e">
        <f t="shared" si="2"/>
        <v>#N/A</v>
      </c>
      <c r="O20" s="169">
        <v>2</v>
      </c>
      <c r="P20" s="9" t="s">
        <v>80</v>
      </c>
      <c r="Q20" s="124" t="e">
        <f t="shared" si="3"/>
        <v>#N/A</v>
      </c>
      <c r="R20" s="170">
        <v>2</v>
      </c>
      <c r="S20" s="265" t="str">
        <f t="shared" si="4"/>
        <v>-</v>
      </c>
      <c r="T20" s="124">
        <f t="shared" si="5"/>
        <v>10</v>
      </c>
      <c r="U20" s="28" t="str">
        <f t="shared" si="6"/>
        <v>Pendiente</v>
      </c>
      <c r="V20" s="13" t="str">
        <f>IF(COUNTIF(U19:U59, "Pendiente") &gt; 0,"Pendiente",IF(U20="No aplica","No aplica",IF(U20&gt;=100%,"Muy Bajo",IF(U20&gt;=80%,"Bajo",IF(U20&gt;=60%,"Medio",IF(U20&gt;=40%,"Alto","Muy Alto"))))))</f>
        <v>Pendiente</v>
      </c>
      <c r="W20" s="171" t="str">
        <f t="shared" si="7"/>
        <v>Pendiente</v>
      </c>
      <c r="X20" s="581"/>
      <c r="Y20" s="14" t="str">
        <f t="shared" ref="Y20:Y26" si="9">+W20</f>
        <v>Pendiente</v>
      </c>
      <c r="Z20" s="172">
        <v>1</v>
      </c>
      <c r="AA20" s="532"/>
      <c r="AB20" s="266" t="s">
        <v>511</v>
      </c>
      <c r="AC20" s="165" t="str">
        <f t="shared" si="8"/>
        <v>Pendiente</v>
      </c>
      <c r="AD20" s="326"/>
      <c r="AE20" s="267" t="str">
        <f t="shared" ref="AE20:AE59" si="10">+IF(Y20="No aplica","No aplica",+IF(AND(AC20="En la siguiente columna responda NO",AD20="No"),Y20,IF(AND(AC20="En la siguiente columna responda NO",AD20="Sí"),"Responda No en la pregunta anterior",IF(AD20="SÍ",Y20/2,Y20))))</f>
        <v>Pendiente</v>
      </c>
      <c r="AF20" s="512"/>
      <c r="AG20" s="241"/>
      <c r="AI20" s="118"/>
    </row>
    <row r="21" spans="2:35" ht="229.5" customHeight="1" x14ac:dyDescent="0.45">
      <c r="B21" s="535"/>
      <c r="C21" s="526"/>
      <c r="D21" s="560"/>
      <c r="E21" s="263" t="s">
        <v>372</v>
      </c>
      <c r="F21" s="167" t="s">
        <v>84</v>
      </c>
      <c r="G21" s="36" t="s">
        <v>80</v>
      </c>
      <c r="H21" s="124" t="e">
        <f t="shared" si="0"/>
        <v>#N/A</v>
      </c>
      <c r="I21" s="169">
        <v>2</v>
      </c>
      <c r="J21" s="9" t="s">
        <v>80</v>
      </c>
      <c r="K21" s="124" t="e">
        <f t="shared" si="1"/>
        <v>#N/A</v>
      </c>
      <c r="L21" s="169">
        <v>1</v>
      </c>
      <c r="M21" s="9" t="s">
        <v>80</v>
      </c>
      <c r="N21" s="264" t="e">
        <f t="shared" si="2"/>
        <v>#N/A</v>
      </c>
      <c r="O21" s="169">
        <v>2</v>
      </c>
      <c r="P21" s="9" t="s">
        <v>80</v>
      </c>
      <c r="Q21" s="124" t="e">
        <f t="shared" si="3"/>
        <v>#N/A</v>
      </c>
      <c r="R21" s="170">
        <v>2</v>
      </c>
      <c r="S21" s="265" t="str">
        <f t="shared" si="4"/>
        <v>-</v>
      </c>
      <c r="T21" s="124">
        <f t="shared" si="5"/>
        <v>10</v>
      </c>
      <c r="U21" s="28" t="str">
        <f t="shared" si="6"/>
        <v>Pendiente</v>
      </c>
      <c r="V21" s="13" t="str">
        <f>IF(COUNTIF(U19:U59, "Pendiente") &gt; 0,"Pendiente",IF(U21="No aplica","No aplica",IF(U21&gt;=100%,"Muy Bajo",IF(U21&gt;=80%,"Bajo",IF(U21&gt;=60%,"Medio",IF(U21&gt;=40%,"Alto","Muy Alto"))))))</f>
        <v>Pendiente</v>
      </c>
      <c r="W21" s="171" t="str">
        <f t="shared" si="7"/>
        <v>Pendiente</v>
      </c>
      <c r="X21" s="581"/>
      <c r="Y21" s="14" t="str">
        <f t="shared" si="9"/>
        <v>Pendiente</v>
      </c>
      <c r="Z21" s="172">
        <v>1</v>
      </c>
      <c r="AA21" s="532"/>
      <c r="AB21" s="266" t="s">
        <v>512</v>
      </c>
      <c r="AC21" s="165" t="str">
        <f t="shared" si="8"/>
        <v>Pendiente</v>
      </c>
      <c r="AD21" s="326"/>
      <c r="AE21" s="267" t="str">
        <f t="shared" si="10"/>
        <v>Pendiente</v>
      </c>
      <c r="AF21" s="512"/>
      <c r="AG21" s="241"/>
      <c r="AI21" s="118"/>
    </row>
    <row r="22" spans="2:35" ht="307" customHeight="1" x14ac:dyDescent="0.45">
      <c r="B22" s="535"/>
      <c r="C22" s="526"/>
      <c r="D22" s="560"/>
      <c r="E22" s="268" t="s">
        <v>543</v>
      </c>
      <c r="F22" s="167" t="s">
        <v>85</v>
      </c>
      <c r="G22" s="36" t="s">
        <v>80</v>
      </c>
      <c r="H22" s="124" t="e">
        <f t="shared" si="0"/>
        <v>#N/A</v>
      </c>
      <c r="I22" s="169">
        <v>2</v>
      </c>
      <c r="J22" s="9" t="s">
        <v>80</v>
      </c>
      <c r="K22" s="124" t="e">
        <f t="shared" si="1"/>
        <v>#N/A</v>
      </c>
      <c r="L22" s="169">
        <v>1</v>
      </c>
      <c r="M22" s="9" t="s">
        <v>80</v>
      </c>
      <c r="N22" s="264" t="e">
        <f t="shared" si="2"/>
        <v>#N/A</v>
      </c>
      <c r="O22" s="169">
        <v>2</v>
      </c>
      <c r="P22" s="9" t="s">
        <v>80</v>
      </c>
      <c r="Q22" s="124" t="e">
        <f t="shared" si="3"/>
        <v>#N/A</v>
      </c>
      <c r="R22" s="170">
        <v>2</v>
      </c>
      <c r="S22" s="265" t="str">
        <f t="shared" si="4"/>
        <v>-</v>
      </c>
      <c r="T22" s="124">
        <f t="shared" si="5"/>
        <v>10</v>
      </c>
      <c r="U22" s="28" t="str">
        <f t="shared" si="6"/>
        <v>Pendiente</v>
      </c>
      <c r="V22" s="13" t="str">
        <f>IF(COUNTIF(U19:U59, "Pendiente") &gt; 0,"Pendiente",IF(U22="No aplica","No aplica",IF(U22&gt;=100%,"Muy Bajo",IF(U22&gt;=80%,"Bajo",IF(U22&gt;=60%,"Medio",IF(U22&gt;=40%,"Alto","Muy Alto"))))))</f>
        <v>Pendiente</v>
      </c>
      <c r="W22" s="171" t="str">
        <f t="shared" si="7"/>
        <v>Pendiente</v>
      </c>
      <c r="X22" s="581"/>
      <c r="Y22" s="14" t="str">
        <f t="shared" si="9"/>
        <v>Pendiente</v>
      </c>
      <c r="Z22" s="269">
        <v>2</v>
      </c>
      <c r="AA22" s="532"/>
      <c r="AB22" s="266" t="s">
        <v>158</v>
      </c>
      <c r="AC22" s="165" t="str">
        <f t="shared" si="8"/>
        <v>Pendiente</v>
      </c>
      <c r="AD22" s="326"/>
      <c r="AE22" s="267" t="str">
        <f t="shared" si="10"/>
        <v>Pendiente</v>
      </c>
      <c r="AF22" s="512"/>
      <c r="AG22" s="241"/>
      <c r="AI22" s="118"/>
    </row>
    <row r="23" spans="2:35" ht="182.15" customHeight="1" x14ac:dyDescent="0.45">
      <c r="B23" s="535"/>
      <c r="C23" s="526"/>
      <c r="D23" s="560"/>
      <c r="E23" s="263" t="s">
        <v>373</v>
      </c>
      <c r="F23" s="167" t="s">
        <v>142</v>
      </c>
      <c r="G23" s="36" t="s">
        <v>80</v>
      </c>
      <c r="H23" s="124" t="e">
        <f t="shared" si="0"/>
        <v>#N/A</v>
      </c>
      <c r="I23" s="169">
        <v>2</v>
      </c>
      <c r="J23" s="9" t="s">
        <v>80</v>
      </c>
      <c r="K23" s="124" t="e">
        <f t="shared" si="1"/>
        <v>#N/A</v>
      </c>
      <c r="L23" s="169">
        <v>1</v>
      </c>
      <c r="M23" s="9" t="s">
        <v>80</v>
      </c>
      <c r="N23" s="264" t="e">
        <f t="shared" si="2"/>
        <v>#N/A</v>
      </c>
      <c r="O23" s="169">
        <v>2</v>
      </c>
      <c r="P23" s="9" t="s">
        <v>80</v>
      </c>
      <c r="Q23" s="124" t="e">
        <f t="shared" si="3"/>
        <v>#N/A</v>
      </c>
      <c r="R23" s="170">
        <v>2</v>
      </c>
      <c r="S23" s="265" t="str">
        <f t="shared" si="4"/>
        <v>-</v>
      </c>
      <c r="T23" s="124">
        <f t="shared" si="5"/>
        <v>10</v>
      </c>
      <c r="U23" s="28" t="str">
        <f t="shared" si="6"/>
        <v>Pendiente</v>
      </c>
      <c r="V23" s="13" t="str">
        <f>IF(COUNTIF(U19:U59, "Pendiente") &gt; 0,"Pendiente",IF(U23="No aplica","No aplica",IF(U23&gt;=100%,"Muy Bajo",IF(U23&gt;=80%,"Bajo",IF(U23&gt;=60%,"Medio",IF(U23&gt;=40%,"Alto","Muy Alto"))))))</f>
        <v>Pendiente</v>
      </c>
      <c r="W23" s="171" t="str">
        <f t="shared" si="7"/>
        <v>Pendiente</v>
      </c>
      <c r="X23" s="581"/>
      <c r="Y23" s="14" t="str">
        <f t="shared" si="9"/>
        <v>Pendiente</v>
      </c>
      <c r="Z23" s="172">
        <v>1</v>
      </c>
      <c r="AA23" s="532"/>
      <c r="AB23" s="266" t="s">
        <v>292</v>
      </c>
      <c r="AC23" s="165" t="str">
        <f t="shared" si="8"/>
        <v>Pendiente</v>
      </c>
      <c r="AD23" s="326"/>
      <c r="AE23" s="267" t="str">
        <f t="shared" si="10"/>
        <v>Pendiente</v>
      </c>
      <c r="AF23" s="512"/>
      <c r="AG23" s="241"/>
      <c r="AI23" s="118"/>
    </row>
    <row r="24" spans="2:35" ht="226.5" customHeight="1" x14ac:dyDescent="0.45">
      <c r="B24" s="535"/>
      <c r="C24" s="526"/>
      <c r="D24" s="560"/>
      <c r="E24" s="263" t="s">
        <v>374</v>
      </c>
      <c r="F24" s="167" t="s">
        <v>159</v>
      </c>
      <c r="G24" s="36" t="s">
        <v>80</v>
      </c>
      <c r="H24" s="124" t="e">
        <f t="shared" si="0"/>
        <v>#N/A</v>
      </c>
      <c r="I24" s="169">
        <v>2</v>
      </c>
      <c r="J24" s="9" t="s">
        <v>80</v>
      </c>
      <c r="K24" s="124" t="e">
        <f t="shared" si="1"/>
        <v>#N/A</v>
      </c>
      <c r="L24" s="169">
        <v>1</v>
      </c>
      <c r="M24" s="9" t="s">
        <v>80</v>
      </c>
      <c r="N24" s="264" t="e">
        <f t="shared" si="2"/>
        <v>#N/A</v>
      </c>
      <c r="O24" s="169">
        <v>2</v>
      </c>
      <c r="P24" s="9" t="s">
        <v>80</v>
      </c>
      <c r="Q24" s="124" t="e">
        <f t="shared" si="3"/>
        <v>#N/A</v>
      </c>
      <c r="R24" s="170">
        <v>2</v>
      </c>
      <c r="S24" s="265" t="str">
        <f t="shared" si="4"/>
        <v>-</v>
      </c>
      <c r="T24" s="124">
        <f t="shared" si="5"/>
        <v>10</v>
      </c>
      <c r="U24" s="28" t="str">
        <f t="shared" si="6"/>
        <v>Pendiente</v>
      </c>
      <c r="V24" s="13" t="str">
        <f>IF(COUNTIF(U19:U59, "Pendiente") &gt; 0,"Pendiente",IF(U24="No aplica","No aplica",IF(U24&gt;=100%,"Muy Bajo",IF(U24&gt;=80%,"Bajo",IF(U24&gt;=60%,"Medio",IF(U24&gt;=40%,"Alto","Muy Alto"))))))</f>
        <v>Pendiente</v>
      </c>
      <c r="W24" s="171" t="str">
        <f t="shared" si="7"/>
        <v>Pendiente</v>
      </c>
      <c r="X24" s="581"/>
      <c r="Y24" s="14" t="str">
        <f t="shared" si="9"/>
        <v>Pendiente</v>
      </c>
      <c r="Z24" s="172">
        <v>1</v>
      </c>
      <c r="AA24" s="532"/>
      <c r="AB24" s="266" t="s">
        <v>196</v>
      </c>
      <c r="AC24" s="165" t="str">
        <f t="shared" si="8"/>
        <v>Pendiente</v>
      </c>
      <c r="AD24" s="326"/>
      <c r="AE24" s="267" t="str">
        <f t="shared" si="10"/>
        <v>Pendiente</v>
      </c>
      <c r="AF24" s="512"/>
      <c r="AG24" s="241"/>
      <c r="AI24" s="118"/>
    </row>
    <row r="25" spans="2:35" ht="182.15" customHeight="1" x14ac:dyDescent="0.45">
      <c r="B25" s="535"/>
      <c r="C25" s="526"/>
      <c r="D25" s="560"/>
      <c r="E25" s="263" t="s">
        <v>375</v>
      </c>
      <c r="F25" s="167" t="s">
        <v>160</v>
      </c>
      <c r="G25" s="36" t="s">
        <v>80</v>
      </c>
      <c r="H25" s="124" t="e">
        <f t="shared" si="0"/>
        <v>#N/A</v>
      </c>
      <c r="I25" s="169">
        <v>2</v>
      </c>
      <c r="J25" s="9" t="s">
        <v>80</v>
      </c>
      <c r="K25" s="124" t="e">
        <f t="shared" si="1"/>
        <v>#N/A</v>
      </c>
      <c r="L25" s="169">
        <v>1</v>
      </c>
      <c r="M25" s="9" t="s">
        <v>80</v>
      </c>
      <c r="N25" s="264" t="e">
        <f t="shared" si="2"/>
        <v>#N/A</v>
      </c>
      <c r="O25" s="169">
        <v>2</v>
      </c>
      <c r="P25" s="9" t="s">
        <v>80</v>
      </c>
      <c r="Q25" s="124" t="e">
        <f t="shared" si="3"/>
        <v>#N/A</v>
      </c>
      <c r="R25" s="170">
        <v>2</v>
      </c>
      <c r="S25" s="265" t="str">
        <f t="shared" si="4"/>
        <v>-</v>
      </c>
      <c r="T25" s="124">
        <f t="shared" si="5"/>
        <v>10</v>
      </c>
      <c r="U25" s="28" t="str">
        <f t="shared" si="6"/>
        <v>Pendiente</v>
      </c>
      <c r="V25" s="13" t="str">
        <f>IF(COUNTIF(U19:U59, "Pendiente") &gt; 0,"Pendiente",IF(U25="No aplica","No aplica",IF(U25&gt;=100%,"Muy Bajo",IF(U25&gt;=80%,"Bajo",IF(U25&gt;=60%,"Medio",IF(U25&gt;=40%,"Alto","Muy Alto"))))))</f>
        <v>Pendiente</v>
      </c>
      <c r="W25" s="171" t="str">
        <f t="shared" si="7"/>
        <v>Pendiente</v>
      </c>
      <c r="X25" s="581"/>
      <c r="Y25" s="14" t="str">
        <f t="shared" si="9"/>
        <v>Pendiente</v>
      </c>
      <c r="Z25" s="172">
        <v>1</v>
      </c>
      <c r="AA25" s="532"/>
      <c r="AB25" s="266" t="s">
        <v>513</v>
      </c>
      <c r="AC25" s="165" t="str">
        <f t="shared" si="8"/>
        <v>Pendiente</v>
      </c>
      <c r="AD25" s="326"/>
      <c r="AE25" s="267" t="str">
        <f t="shared" si="10"/>
        <v>Pendiente</v>
      </c>
      <c r="AF25" s="512"/>
      <c r="AG25" s="241"/>
      <c r="AI25" s="118"/>
    </row>
    <row r="26" spans="2:35" ht="167" thickBot="1" x14ac:dyDescent="0.5">
      <c r="B26" s="535"/>
      <c r="C26" s="527"/>
      <c r="D26" s="561"/>
      <c r="E26" s="270" t="s">
        <v>376</v>
      </c>
      <c r="F26" s="178" t="s">
        <v>161</v>
      </c>
      <c r="G26" s="40" t="s">
        <v>80</v>
      </c>
      <c r="H26" s="192" t="e">
        <f t="shared" si="0"/>
        <v>#N/A</v>
      </c>
      <c r="I26" s="193">
        <v>2</v>
      </c>
      <c r="J26" s="25" t="s">
        <v>80</v>
      </c>
      <c r="K26" s="192" t="e">
        <f t="shared" si="1"/>
        <v>#N/A</v>
      </c>
      <c r="L26" s="193">
        <v>1</v>
      </c>
      <c r="M26" s="25" t="s">
        <v>80</v>
      </c>
      <c r="N26" s="271" t="e">
        <f t="shared" si="2"/>
        <v>#N/A</v>
      </c>
      <c r="O26" s="193">
        <v>2</v>
      </c>
      <c r="P26" s="25" t="s">
        <v>80</v>
      </c>
      <c r="Q26" s="192" t="e">
        <f t="shared" si="3"/>
        <v>#N/A</v>
      </c>
      <c r="R26" s="194">
        <v>2</v>
      </c>
      <c r="S26" s="272" t="str">
        <f t="shared" si="4"/>
        <v>-</v>
      </c>
      <c r="T26" s="192">
        <f t="shared" si="5"/>
        <v>10</v>
      </c>
      <c r="U26" s="29" t="str">
        <f t="shared" si="6"/>
        <v>Pendiente</v>
      </c>
      <c r="V26" s="26" t="str">
        <f>IF(COUNTIF(U19:U59, "Pendiente") &gt; 0,"Pendiente",IF(U26="No aplica","No aplica",IF(U26&gt;=100%,"Muy Bajo",IF(U26&gt;=80%,"Bajo",IF(U26&gt;=60%,"Medio",IF(U26&gt;=40%,"Alto","Muy Alto"))))))</f>
        <v>Pendiente</v>
      </c>
      <c r="W26" s="196" t="str">
        <f t="shared" si="7"/>
        <v>Pendiente</v>
      </c>
      <c r="X26" s="582"/>
      <c r="Y26" s="27" t="str">
        <f t="shared" si="9"/>
        <v>Pendiente</v>
      </c>
      <c r="Z26" s="184">
        <v>1</v>
      </c>
      <c r="AA26" s="533"/>
      <c r="AB26" s="273" t="s">
        <v>293</v>
      </c>
      <c r="AC26" s="176" t="str">
        <f t="shared" si="8"/>
        <v>Pendiente</v>
      </c>
      <c r="AD26" s="327"/>
      <c r="AE26" s="274" t="str">
        <f t="shared" si="10"/>
        <v>Pendiente</v>
      </c>
      <c r="AF26" s="511"/>
      <c r="AG26" s="242"/>
      <c r="AI26" s="118"/>
    </row>
    <row r="27" spans="2:35" ht="231" customHeight="1" x14ac:dyDescent="0.45">
      <c r="B27" s="535"/>
      <c r="C27" s="525">
        <v>2</v>
      </c>
      <c r="D27" s="559" t="s">
        <v>162</v>
      </c>
      <c r="E27" s="275" t="s">
        <v>377</v>
      </c>
      <c r="F27" s="155" t="s">
        <v>65</v>
      </c>
      <c r="G27" s="38" t="s">
        <v>80</v>
      </c>
      <c r="H27" s="277" t="e">
        <f t="shared" si="0"/>
        <v>#N/A</v>
      </c>
      <c r="I27" s="278">
        <v>2</v>
      </c>
      <c r="J27" s="19" t="s">
        <v>80</v>
      </c>
      <c r="K27" s="277" t="e">
        <f t="shared" si="1"/>
        <v>#N/A</v>
      </c>
      <c r="L27" s="278">
        <v>1</v>
      </c>
      <c r="M27" s="19" t="s">
        <v>80</v>
      </c>
      <c r="N27" s="279" t="e">
        <f t="shared" si="2"/>
        <v>#N/A</v>
      </c>
      <c r="O27" s="278">
        <v>2</v>
      </c>
      <c r="P27" s="19" t="s">
        <v>80</v>
      </c>
      <c r="Q27" s="277" t="e">
        <f t="shared" si="3"/>
        <v>#N/A</v>
      </c>
      <c r="R27" s="280">
        <v>2</v>
      </c>
      <c r="S27" s="156" t="str">
        <f t="shared" si="4"/>
        <v>-</v>
      </c>
      <c r="T27" s="157">
        <f t="shared" si="5"/>
        <v>10</v>
      </c>
      <c r="U27" s="18" t="str">
        <f t="shared" si="6"/>
        <v>Pendiente</v>
      </c>
      <c r="V27" s="11" t="str">
        <f>IF(COUNTIF(U19:U59, "Pendiente") &gt; 0,"Pendiente",IF(U27="No aplica","No aplica",IF(U27&gt;=100%,"Muy Bajo",IF(U27&gt;=80%,"Bajo",IF(U27&gt;=60%,"Medio",IF(U27&gt;=40%,"Alto","Muy Alto"))))))</f>
        <v>Pendiente</v>
      </c>
      <c r="W27" s="160" t="str">
        <f t="shared" si="7"/>
        <v>Pendiente</v>
      </c>
      <c r="X27" s="562">
        <v>2</v>
      </c>
      <c r="Y27" s="18" t="str">
        <f t="shared" ref="Y27:Y57" si="11">+W27</f>
        <v>Pendiente</v>
      </c>
      <c r="Z27" s="281">
        <v>2</v>
      </c>
      <c r="AA27" s="531" t="str">
        <f>IF($G$3="No","No aplica",+IF(COUNTIF(Y27:Y31,"Pendiente")&gt;0,"Pendiente",AVERAGE(4*Y27*Z27,4*Y28*1.5,4*Y29*1.5,4*Y30*1.5,4*Y31*1.5)))</f>
        <v>Pendiente</v>
      </c>
      <c r="AB27" s="261" t="s">
        <v>294</v>
      </c>
      <c r="AC27" s="153" t="str">
        <f t="shared" si="8"/>
        <v>Pendiente</v>
      </c>
      <c r="AD27" s="328"/>
      <c r="AE27" s="262" t="str">
        <f t="shared" si="10"/>
        <v>Pendiente</v>
      </c>
      <c r="AF27" s="510" t="str">
        <f>IF($G$3="No","No aplica",+IF(AA27="Pendiente","Pendiente",IF(COUNTIF(AD19:AD59,"")&gt;0,"Pendiente",AVERAGE(4*Z27*AE27,4*1.5*AE28,4*1.5*AE29,4*1.5*AE30,4*1.5*AE31))))</f>
        <v>Pendiente</v>
      </c>
      <c r="AG27" s="240"/>
      <c r="AI27" s="118"/>
    </row>
    <row r="28" spans="2:35" ht="231" customHeight="1" x14ac:dyDescent="0.45">
      <c r="B28" s="535"/>
      <c r="C28" s="526"/>
      <c r="D28" s="560"/>
      <c r="E28" s="263" t="s">
        <v>378</v>
      </c>
      <c r="F28" s="167" t="s">
        <v>66</v>
      </c>
      <c r="G28" s="36" t="s">
        <v>80</v>
      </c>
      <c r="H28" s="124" t="e">
        <f t="shared" si="0"/>
        <v>#N/A</v>
      </c>
      <c r="I28" s="169">
        <v>2</v>
      </c>
      <c r="J28" s="9" t="s">
        <v>80</v>
      </c>
      <c r="K28" s="124" t="e">
        <f t="shared" si="1"/>
        <v>#N/A</v>
      </c>
      <c r="L28" s="169">
        <v>1</v>
      </c>
      <c r="M28" s="9" t="s">
        <v>80</v>
      </c>
      <c r="N28" s="264" t="e">
        <f t="shared" si="2"/>
        <v>#N/A</v>
      </c>
      <c r="O28" s="169">
        <v>2</v>
      </c>
      <c r="P28" s="9" t="s">
        <v>80</v>
      </c>
      <c r="Q28" s="124" t="e">
        <f t="shared" si="3"/>
        <v>#N/A</v>
      </c>
      <c r="R28" s="170">
        <v>2</v>
      </c>
      <c r="S28" s="265" t="str">
        <f t="shared" si="4"/>
        <v>-</v>
      </c>
      <c r="T28" s="124">
        <f t="shared" si="5"/>
        <v>10</v>
      </c>
      <c r="U28" s="28" t="str">
        <f t="shared" si="6"/>
        <v>Pendiente</v>
      </c>
      <c r="V28" s="13" t="str">
        <f>IF(COUNTIF(U19:U59, "Pendiente") &gt; 0,"Pendiente",IF(U28="No aplica","No aplica",IF(U28&gt;=100%,"Muy Bajo",IF(U28&gt;=80%,"Bajo",IF(U28&gt;=60%,"Medio",IF(U28&gt;=40%,"Alto","Muy Alto"))))))</f>
        <v>Pendiente</v>
      </c>
      <c r="W28" s="171" t="str">
        <f t="shared" si="7"/>
        <v>Pendiente</v>
      </c>
      <c r="X28" s="563"/>
      <c r="Y28" s="28" t="str">
        <f t="shared" ref="Y28" si="12">+W28</f>
        <v>Pendiente</v>
      </c>
      <c r="Z28" s="282">
        <v>1</v>
      </c>
      <c r="AA28" s="532"/>
      <c r="AB28" s="266" t="s">
        <v>295</v>
      </c>
      <c r="AC28" s="165" t="str">
        <f t="shared" si="8"/>
        <v>Pendiente</v>
      </c>
      <c r="AD28" s="326"/>
      <c r="AE28" s="267" t="str">
        <f t="shared" si="10"/>
        <v>Pendiente</v>
      </c>
      <c r="AF28" s="512"/>
      <c r="AG28" s="241"/>
      <c r="AI28" s="118"/>
    </row>
    <row r="29" spans="2:35" ht="231" customHeight="1" x14ac:dyDescent="0.45">
      <c r="B29" s="535"/>
      <c r="C29" s="526"/>
      <c r="D29" s="560"/>
      <c r="E29" s="263" t="s">
        <v>379</v>
      </c>
      <c r="F29" s="167" t="s">
        <v>67</v>
      </c>
      <c r="G29" s="36" t="s">
        <v>80</v>
      </c>
      <c r="H29" s="124" t="e">
        <f t="shared" si="0"/>
        <v>#N/A</v>
      </c>
      <c r="I29" s="169">
        <v>2</v>
      </c>
      <c r="J29" s="9" t="s">
        <v>80</v>
      </c>
      <c r="K29" s="124" t="e">
        <f t="shared" si="1"/>
        <v>#N/A</v>
      </c>
      <c r="L29" s="169">
        <v>1</v>
      </c>
      <c r="M29" s="9" t="s">
        <v>80</v>
      </c>
      <c r="N29" s="264" t="e">
        <f t="shared" si="2"/>
        <v>#N/A</v>
      </c>
      <c r="O29" s="169">
        <v>2</v>
      </c>
      <c r="P29" s="9" t="s">
        <v>80</v>
      </c>
      <c r="Q29" s="124" t="e">
        <f t="shared" si="3"/>
        <v>#N/A</v>
      </c>
      <c r="R29" s="170">
        <v>2</v>
      </c>
      <c r="S29" s="265" t="str">
        <f t="shared" si="4"/>
        <v>-</v>
      </c>
      <c r="T29" s="124">
        <f t="shared" si="5"/>
        <v>10</v>
      </c>
      <c r="U29" s="28" t="str">
        <f t="shared" si="6"/>
        <v>Pendiente</v>
      </c>
      <c r="V29" s="13" t="str">
        <f>IF(COUNTIF(U19:U59, "Pendiente") &gt; 0,"Pendiente",IF(U29="No aplica","No aplica",IF(U29&gt;=100%,"Muy Bajo",IF(U29&gt;=80%,"Bajo",IF(U29&gt;=60%,"Medio",IF(U29&gt;=40%,"Alto","Muy Alto"))))))</f>
        <v>Pendiente</v>
      </c>
      <c r="W29" s="171" t="str">
        <f t="shared" si="7"/>
        <v>Pendiente</v>
      </c>
      <c r="X29" s="563"/>
      <c r="Y29" s="28" t="str">
        <f t="shared" ref="Y29" si="13">+W29</f>
        <v>Pendiente</v>
      </c>
      <c r="Z29" s="282">
        <v>1</v>
      </c>
      <c r="AA29" s="532"/>
      <c r="AB29" s="266" t="s">
        <v>296</v>
      </c>
      <c r="AC29" s="165" t="str">
        <f t="shared" si="8"/>
        <v>Pendiente</v>
      </c>
      <c r="AD29" s="326"/>
      <c r="AE29" s="267" t="str">
        <f t="shared" si="10"/>
        <v>Pendiente</v>
      </c>
      <c r="AF29" s="512"/>
      <c r="AG29" s="241"/>
      <c r="AI29" s="118"/>
    </row>
    <row r="30" spans="2:35" ht="231" customHeight="1" x14ac:dyDescent="0.45">
      <c r="B30" s="535"/>
      <c r="C30" s="526"/>
      <c r="D30" s="560"/>
      <c r="E30" s="263" t="s">
        <v>380</v>
      </c>
      <c r="F30" s="167" t="s">
        <v>163</v>
      </c>
      <c r="G30" s="36" t="s">
        <v>80</v>
      </c>
      <c r="H30" s="124" t="e">
        <f t="shared" si="0"/>
        <v>#N/A</v>
      </c>
      <c r="I30" s="169">
        <v>2</v>
      </c>
      <c r="J30" s="9" t="s">
        <v>80</v>
      </c>
      <c r="K30" s="124" t="e">
        <f t="shared" si="1"/>
        <v>#N/A</v>
      </c>
      <c r="L30" s="169">
        <v>1</v>
      </c>
      <c r="M30" s="9" t="s">
        <v>80</v>
      </c>
      <c r="N30" s="264" t="e">
        <f t="shared" si="2"/>
        <v>#N/A</v>
      </c>
      <c r="O30" s="169">
        <v>2</v>
      </c>
      <c r="P30" s="9" t="s">
        <v>80</v>
      </c>
      <c r="Q30" s="124" t="e">
        <f t="shared" si="3"/>
        <v>#N/A</v>
      </c>
      <c r="R30" s="170">
        <v>2</v>
      </c>
      <c r="S30" s="265" t="str">
        <f t="shared" si="4"/>
        <v>-</v>
      </c>
      <c r="T30" s="124">
        <f t="shared" si="5"/>
        <v>10</v>
      </c>
      <c r="U30" s="28" t="str">
        <f t="shared" si="6"/>
        <v>Pendiente</v>
      </c>
      <c r="V30" s="13" t="str">
        <f>IF(COUNTIF(U19:U59, "Pendiente") &gt; 0,"Pendiente",IF(U30="No aplica","No aplica",IF(U30&gt;=100%,"Muy Bajo",IF(U30&gt;=80%,"Bajo",IF(U30&gt;=60%,"Medio",IF(U30&gt;=40%,"Alto","Muy Alto"))))))</f>
        <v>Pendiente</v>
      </c>
      <c r="W30" s="171" t="str">
        <f t="shared" si="7"/>
        <v>Pendiente</v>
      </c>
      <c r="X30" s="563"/>
      <c r="Y30" s="28" t="str">
        <f t="shared" ref="Y30" si="14">+W30</f>
        <v>Pendiente</v>
      </c>
      <c r="Z30" s="282">
        <v>1</v>
      </c>
      <c r="AA30" s="532"/>
      <c r="AB30" s="266" t="s">
        <v>297</v>
      </c>
      <c r="AC30" s="165" t="str">
        <f t="shared" si="8"/>
        <v>Pendiente</v>
      </c>
      <c r="AD30" s="326"/>
      <c r="AE30" s="267" t="str">
        <f t="shared" si="10"/>
        <v>Pendiente</v>
      </c>
      <c r="AF30" s="512"/>
      <c r="AG30" s="241"/>
      <c r="AI30" s="118"/>
    </row>
    <row r="31" spans="2:35" ht="231" customHeight="1" thickBot="1" x14ac:dyDescent="0.5">
      <c r="B31" s="535"/>
      <c r="C31" s="527"/>
      <c r="D31" s="561"/>
      <c r="E31" s="270" t="s">
        <v>381</v>
      </c>
      <c r="F31" s="178" t="s">
        <v>227</v>
      </c>
      <c r="G31" s="40" t="s">
        <v>80</v>
      </c>
      <c r="H31" s="192" t="e">
        <f t="shared" si="0"/>
        <v>#N/A</v>
      </c>
      <c r="I31" s="193">
        <v>2</v>
      </c>
      <c r="J31" s="25" t="s">
        <v>80</v>
      </c>
      <c r="K31" s="192" t="e">
        <f t="shared" si="1"/>
        <v>#N/A</v>
      </c>
      <c r="L31" s="193">
        <v>1</v>
      </c>
      <c r="M31" s="25" t="s">
        <v>80</v>
      </c>
      <c r="N31" s="271" t="e">
        <f t="shared" si="2"/>
        <v>#N/A</v>
      </c>
      <c r="O31" s="193">
        <v>2</v>
      </c>
      <c r="P31" s="25" t="s">
        <v>80</v>
      </c>
      <c r="Q31" s="192" t="e">
        <f t="shared" si="3"/>
        <v>#N/A</v>
      </c>
      <c r="R31" s="194">
        <v>2</v>
      </c>
      <c r="S31" s="272" t="str">
        <f t="shared" si="4"/>
        <v>-</v>
      </c>
      <c r="T31" s="192">
        <f t="shared" si="5"/>
        <v>10</v>
      </c>
      <c r="U31" s="29" t="str">
        <f t="shared" si="6"/>
        <v>Pendiente</v>
      </c>
      <c r="V31" s="26" t="str">
        <f>IF(COUNTIF(U19:U59, "Pendiente") &gt; 0,"Pendiente",IF(U31="No aplica","No aplica",IF(U31&gt;=100%,"Muy Bajo",IF(U31&gt;=80%,"Bajo",IF(U31&gt;=60%,"Medio",IF(U31&gt;=40%,"Alto","Muy Alto"))))))</f>
        <v>Pendiente</v>
      </c>
      <c r="W31" s="196" t="str">
        <f t="shared" si="7"/>
        <v>Pendiente</v>
      </c>
      <c r="X31" s="564"/>
      <c r="Y31" s="29" t="str">
        <f t="shared" ref="Y31" si="15">+W31</f>
        <v>Pendiente</v>
      </c>
      <c r="Z31" s="283">
        <v>1</v>
      </c>
      <c r="AA31" s="533"/>
      <c r="AB31" s="273" t="s">
        <v>298</v>
      </c>
      <c r="AC31" s="176" t="str">
        <f t="shared" si="8"/>
        <v>Pendiente</v>
      </c>
      <c r="AD31" s="327"/>
      <c r="AE31" s="274" t="str">
        <f t="shared" si="10"/>
        <v>Pendiente</v>
      </c>
      <c r="AF31" s="511"/>
      <c r="AG31" s="242"/>
      <c r="AI31" s="118"/>
    </row>
    <row r="32" spans="2:35" ht="249" customHeight="1" x14ac:dyDescent="0.45">
      <c r="B32" s="535"/>
      <c r="C32" s="566">
        <v>3</v>
      </c>
      <c r="D32" s="591" t="s">
        <v>171</v>
      </c>
      <c r="E32" s="285" t="s">
        <v>382</v>
      </c>
      <c r="F32" s="286" t="s">
        <v>68</v>
      </c>
      <c r="G32" s="38" t="s">
        <v>80</v>
      </c>
      <c r="H32" s="277" t="e">
        <f t="shared" si="0"/>
        <v>#N/A</v>
      </c>
      <c r="I32" s="278">
        <v>2</v>
      </c>
      <c r="J32" s="19" t="s">
        <v>80</v>
      </c>
      <c r="K32" s="277" t="e">
        <f t="shared" si="1"/>
        <v>#N/A</v>
      </c>
      <c r="L32" s="278">
        <v>1</v>
      </c>
      <c r="M32" s="19" t="s">
        <v>80</v>
      </c>
      <c r="N32" s="279" t="e">
        <f t="shared" si="2"/>
        <v>#N/A</v>
      </c>
      <c r="O32" s="278">
        <v>2</v>
      </c>
      <c r="P32" s="19" t="s">
        <v>80</v>
      </c>
      <c r="Q32" s="277" t="e">
        <f t="shared" si="3"/>
        <v>#N/A</v>
      </c>
      <c r="R32" s="280">
        <v>2</v>
      </c>
      <c r="S32" s="276" t="str">
        <f t="shared" si="4"/>
        <v>-</v>
      </c>
      <c r="T32" s="277">
        <f t="shared" si="5"/>
        <v>10</v>
      </c>
      <c r="U32" s="56" t="str">
        <f t="shared" si="6"/>
        <v>Pendiente</v>
      </c>
      <c r="V32" s="20" t="str">
        <f>IF(COUNTIF(U19:U59, "Pendiente") &gt; 0,"Pendiente",IF(U32="No aplica","No aplica",IF(U32&gt;=100%,"Muy Bajo",IF(U32&gt;=80%,"Bajo",IF(U32&gt;=60%,"Medio",IF(U32&gt;=40%,"Alto","Muy Alto"))))))</f>
        <v>Pendiente</v>
      </c>
      <c r="W32" s="287" t="str">
        <f t="shared" si="7"/>
        <v>Pendiente</v>
      </c>
      <c r="X32" s="583">
        <v>1</v>
      </c>
      <c r="Y32" s="56" t="str">
        <f t="shared" si="11"/>
        <v>Pendiente</v>
      </c>
      <c r="Z32" s="288">
        <v>1</v>
      </c>
      <c r="AA32" s="570" t="str">
        <f>IF($G$3="No","No aplica",+IF(COUNTIF(Y32:Y41,"Pendiente")&gt;0,"Pendiente",AVERAGE(3*Y32*1.5,3*Y33*1.5,3*Y34*1.5,3*Y35*1.5,3*Y36*1.5,3*Y37*1.5,3*Y38*1.5,3*Y39*1.5,3*Y40*1.5,3*Y41*1.5)))</f>
        <v>Pendiente</v>
      </c>
      <c r="AB32" s="289" t="s">
        <v>299</v>
      </c>
      <c r="AC32" s="290" t="str">
        <f t="shared" si="8"/>
        <v>Pendiente</v>
      </c>
      <c r="AD32" s="329"/>
      <c r="AE32" s="291" t="str">
        <f t="shared" si="10"/>
        <v>Pendiente</v>
      </c>
      <c r="AF32" s="575" t="str">
        <f>IF($G$3="No","No aplica",+IF(AA32="Pendiente","Pendiente",IF(COUNTIF(AD19:AD59,"")&gt;0,"Pendiente",AVERAGE(3*AE32*1.5,3*AE33*1.5,3*AE34*1.5,3*AE35*1.5,3*AE36*1.5,3*AE37*1.5,3*AE38*1.5,3*AE39*1.5,3*AE40*1.5,3*AE41*1.5))))</f>
        <v>Pendiente</v>
      </c>
      <c r="AG32" s="332"/>
      <c r="AI32" s="118"/>
    </row>
    <row r="33" spans="2:35" ht="218.25" customHeight="1" x14ac:dyDescent="0.45">
      <c r="B33" s="535"/>
      <c r="C33" s="526"/>
      <c r="D33" s="560"/>
      <c r="E33" s="263" t="s">
        <v>383</v>
      </c>
      <c r="F33" s="292" t="s">
        <v>69</v>
      </c>
      <c r="G33" s="36" t="s">
        <v>80</v>
      </c>
      <c r="H33" s="124" t="e">
        <f t="shared" si="0"/>
        <v>#N/A</v>
      </c>
      <c r="I33" s="169">
        <v>2</v>
      </c>
      <c r="J33" s="9" t="s">
        <v>80</v>
      </c>
      <c r="K33" s="124" t="e">
        <f t="shared" si="1"/>
        <v>#N/A</v>
      </c>
      <c r="L33" s="169">
        <v>1</v>
      </c>
      <c r="M33" s="9" t="s">
        <v>80</v>
      </c>
      <c r="N33" s="264" t="e">
        <f t="shared" si="2"/>
        <v>#N/A</v>
      </c>
      <c r="O33" s="169">
        <v>2</v>
      </c>
      <c r="P33" s="9" t="s">
        <v>80</v>
      </c>
      <c r="Q33" s="124" t="e">
        <f t="shared" si="3"/>
        <v>#N/A</v>
      </c>
      <c r="R33" s="170">
        <v>2</v>
      </c>
      <c r="S33" s="265" t="str">
        <f t="shared" si="4"/>
        <v>-</v>
      </c>
      <c r="T33" s="124">
        <f t="shared" si="5"/>
        <v>10</v>
      </c>
      <c r="U33" s="28" t="str">
        <f t="shared" si="6"/>
        <v>Pendiente</v>
      </c>
      <c r="V33" s="13" t="str">
        <f>IF(COUNTIF(U19:U59, "Pendiente") &gt; 0,"Pendiente",IF(U33="No aplica","No aplica",IF(U33&gt;=100%,"Muy Bajo",IF(U33&gt;=80%,"Bajo",IF(U33&gt;=60%,"Medio",IF(U33&gt;=40%,"Alto","Muy Alto"))))))</f>
        <v>Pendiente</v>
      </c>
      <c r="W33" s="171" t="str">
        <f t="shared" si="7"/>
        <v>Pendiente</v>
      </c>
      <c r="X33" s="584"/>
      <c r="Y33" s="28" t="str">
        <f t="shared" ref="Y33" si="16">+W33</f>
        <v>Pendiente</v>
      </c>
      <c r="Z33" s="293">
        <v>1</v>
      </c>
      <c r="AA33" s="532"/>
      <c r="AB33" s="266" t="s">
        <v>300</v>
      </c>
      <c r="AC33" s="165" t="str">
        <f t="shared" si="8"/>
        <v>Pendiente</v>
      </c>
      <c r="AD33" s="326"/>
      <c r="AE33" s="267" t="str">
        <f t="shared" si="10"/>
        <v>Pendiente</v>
      </c>
      <c r="AF33" s="512"/>
      <c r="AG33" s="241"/>
      <c r="AI33" s="118"/>
    </row>
    <row r="34" spans="2:35" ht="218.25" customHeight="1" x14ac:dyDescent="0.45">
      <c r="B34" s="535"/>
      <c r="C34" s="526"/>
      <c r="D34" s="560"/>
      <c r="E34" s="263" t="s">
        <v>384</v>
      </c>
      <c r="F34" s="292" t="s">
        <v>70</v>
      </c>
      <c r="G34" s="36" t="s">
        <v>80</v>
      </c>
      <c r="H34" s="124" t="e">
        <f t="shared" si="0"/>
        <v>#N/A</v>
      </c>
      <c r="I34" s="169">
        <v>2</v>
      </c>
      <c r="J34" s="9" t="s">
        <v>80</v>
      </c>
      <c r="K34" s="124" t="e">
        <f t="shared" si="1"/>
        <v>#N/A</v>
      </c>
      <c r="L34" s="169">
        <v>1</v>
      </c>
      <c r="M34" s="9" t="s">
        <v>80</v>
      </c>
      <c r="N34" s="264" t="e">
        <f t="shared" si="2"/>
        <v>#N/A</v>
      </c>
      <c r="O34" s="169">
        <v>2</v>
      </c>
      <c r="P34" s="9" t="s">
        <v>80</v>
      </c>
      <c r="Q34" s="124" t="e">
        <f t="shared" si="3"/>
        <v>#N/A</v>
      </c>
      <c r="R34" s="170">
        <v>2</v>
      </c>
      <c r="S34" s="265" t="str">
        <f t="shared" si="4"/>
        <v>-</v>
      </c>
      <c r="T34" s="124">
        <f t="shared" si="5"/>
        <v>10</v>
      </c>
      <c r="U34" s="28" t="str">
        <f t="shared" si="6"/>
        <v>Pendiente</v>
      </c>
      <c r="V34" s="13" t="str">
        <f>IF(COUNTIF(U19:U59, "Pendiente") &gt; 0,"Pendiente",IF(U34="No aplica","No aplica",IF(U34&gt;=100%,"Muy Bajo",IF(U34&gt;=80%,"Bajo",IF(U34&gt;=60%,"Medio",IF(U34&gt;=40%,"Alto","Muy Alto"))))))</f>
        <v>Pendiente</v>
      </c>
      <c r="W34" s="171" t="str">
        <f t="shared" si="7"/>
        <v>Pendiente</v>
      </c>
      <c r="X34" s="584"/>
      <c r="Y34" s="28" t="str">
        <f t="shared" ref="Y34:Y41" si="17">+W34</f>
        <v>Pendiente</v>
      </c>
      <c r="Z34" s="293">
        <v>1</v>
      </c>
      <c r="AA34" s="532"/>
      <c r="AB34" s="266" t="s">
        <v>301</v>
      </c>
      <c r="AC34" s="165" t="str">
        <f t="shared" si="8"/>
        <v>Pendiente</v>
      </c>
      <c r="AD34" s="326"/>
      <c r="AE34" s="267" t="str">
        <f t="shared" si="10"/>
        <v>Pendiente</v>
      </c>
      <c r="AF34" s="512"/>
      <c r="AG34" s="241"/>
      <c r="AI34" s="118"/>
    </row>
    <row r="35" spans="2:35" ht="218.25" customHeight="1" x14ac:dyDescent="0.45">
      <c r="B35" s="535"/>
      <c r="C35" s="526"/>
      <c r="D35" s="560"/>
      <c r="E35" s="263" t="s">
        <v>385</v>
      </c>
      <c r="F35" s="292" t="s">
        <v>164</v>
      </c>
      <c r="G35" s="36" t="s">
        <v>80</v>
      </c>
      <c r="H35" s="124" t="e">
        <f t="shared" si="0"/>
        <v>#N/A</v>
      </c>
      <c r="I35" s="169">
        <v>2</v>
      </c>
      <c r="J35" s="9" t="s">
        <v>80</v>
      </c>
      <c r="K35" s="124" t="e">
        <f t="shared" si="1"/>
        <v>#N/A</v>
      </c>
      <c r="L35" s="169">
        <v>1</v>
      </c>
      <c r="M35" s="9" t="s">
        <v>80</v>
      </c>
      <c r="N35" s="264" t="e">
        <f t="shared" si="2"/>
        <v>#N/A</v>
      </c>
      <c r="O35" s="169">
        <v>2</v>
      </c>
      <c r="P35" s="9" t="s">
        <v>80</v>
      </c>
      <c r="Q35" s="124" t="e">
        <f t="shared" si="3"/>
        <v>#N/A</v>
      </c>
      <c r="R35" s="170">
        <v>2</v>
      </c>
      <c r="S35" s="265" t="str">
        <f t="shared" si="4"/>
        <v>-</v>
      </c>
      <c r="T35" s="124">
        <f t="shared" si="5"/>
        <v>10</v>
      </c>
      <c r="U35" s="28" t="str">
        <f t="shared" si="6"/>
        <v>Pendiente</v>
      </c>
      <c r="V35" s="13" t="str">
        <f>IF(COUNTIF(U19:U59, "Pendiente") &gt; 0,"Pendiente",IF(U35="No aplica","No aplica",IF(U35&gt;=100%,"Muy Bajo",IF(U35&gt;=80%,"Bajo",IF(U35&gt;=60%,"Medio",IF(U35&gt;=40%,"Alto","Muy Alto"))))))</f>
        <v>Pendiente</v>
      </c>
      <c r="W35" s="171" t="str">
        <f t="shared" si="7"/>
        <v>Pendiente</v>
      </c>
      <c r="X35" s="584"/>
      <c r="Y35" s="28" t="str">
        <f t="shared" si="17"/>
        <v>Pendiente</v>
      </c>
      <c r="Z35" s="293">
        <v>1</v>
      </c>
      <c r="AA35" s="532"/>
      <c r="AB35" s="266" t="s">
        <v>302</v>
      </c>
      <c r="AC35" s="165" t="str">
        <f t="shared" si="8"/>
        <v>Pendiente</v>
      </c>
      <c r="AD35" s="326"/>
      <c r="AE35" s="267" t="str">
        <f t="shared" si="10"/>
        <v>Pendiente</v>
      </c>
      <c r="AF35" s="512"/>
      <c r="AG35" s="241"/>
      <c r="AI35" s="118"/>
    </row>
    <row r="36" spans="2:35" ht="236.15" customHeight="1" x14ac:dyDescent="0.45">
      <c r="B36" s="535"/>
      <c r="C36" s="526"/>
      <c r="D36" s="560"/>
      <c r="E36" s="263" t="s">
        <v>386</v>
      </c>
      <c r="F36" s="292" t="s">
        <v>165</v>
      </c>
      <c r="G36" s="36" t="s">
        <v>80</v>
      </c>
      <c r="H36" s="124" t="e">
        <f t="shared" si="0"/>
        <v>#N/A</v>
      </c>
      <c r="I36" s="169">
        <v>2</v>
      </c>
      <c r="J36" s="9" t="s">
        <v>80</v>
      </c>
      <c r="K36" s="124" t="e">
        <f t="shared" si="1"/>
        <v>#N/A</v>
      </c>
      <c r="L36" s="169">
        <v>1</v>
      </c>
      <c r="M36" s="9" t="s">
        <v>80</v>
      </c>
      <c r="N36" s="264" t="e">
        <f t="shared" si="2"/>
        <v>#N/A</v>
      </c>
      <c r="O36" s="169">
        <v>2</v>
      </c>
      <c r="P36" s="9" t="s">
        <v>80</v>
      </c>
      <c r="Q36" s="124" t="e">
        <f t="shared" si="3"/>
        <v>#N/A</v>
      </c>
      <c r="R36" s="170">
        <v>2</v>
      </c>
      <c r="S36" s="265" t="str">
        <f t="shared" si="4"/>
        <v>-</v>
      </c>
      <c r="T36" s="124">
        <f t="shared" si="5"/>
        <v>10</v>
      </c>
      <c r="U36" s="28" t="str">
        <f t="shared" si="6"/>
        <v>Pendiente</v>
      </c>
      <c r="V36" s="13" t="str">
        <f>IF(COUNTIF(U19:U59, "Pendiente") &gt; 0,"Pendiente",IF(U36="No aplica","No aplica",IF(U36&gt;=100%,"Muy Bajo",IF(U36&gt;=80%,"Bajo",IF(U36&gt;=60%,"Medio",IF(U36&gt;=40%,"Alto","Muy Alto"))))))</f>
        <v>Pendiente</v>
      </c>
      <c r="W36" s="171" t="str">
        <f t="shared" si="7"/>
        <v>Pendiente</v>
      </c>
      <c r="X36" s="584"/>
      <c r="Y36" s="28" t="str">
        <f t="shared" si="17"/>
        <v>Pendiente</v>
      </c>
      <c r="Z36" s="293">
        <v>1</v>
      </c>
      <c r="AA36" s="532"/>
      <c r="AB36" s="266" t="s">
        <v>303</v>
      </c>
      <c r="AC36" s="165" t="str">
        <f t="shared" si="8"/>
        <v>Pendiente</v>
      </c>
      <c r="AD36" s="326"/>
      <c r="AE36" s="267" t="str">
        <f t="shared" si="10"/>
        <v>Pendiente</v>
      </c>
      <c r="AF36" s="512"/>
      <c r="AG36" s="241"/>
      <c r="AI36" s="118"/>
    </row>
    <row r="37" spans="2:35" ht="218.25" customHeight="1" x14ac:dyDescent="0.45">
      <c r="B37" s="535"/>
      <c r="C37" s="526"/>
      <c r="D37" s="560"/>
      <c r="E37" s="263" t="s">
        <v>387</v>
      </c>
      <c r="F37" s="292" t="s">
        <v>166</v>
      </c>
      <c r="G37" s="36" t="s">
        <v>80</v>
      </c>
      <c r="H37" s="124" t="e">
        <f t="shared" si="0"/>
        <v>#N/A</v>
      </c>
      <c r="I37" s="169">
        <v>2</v>
      </c>
      <c r="J37" s="9" t="s">
        <v>80</v>
      </c>
      <c r="K37" s="124" t="e">
        <f t="shared" si="1"/>
        <v>#N/A</v>
      </c>
      <c r="L37" s="169">
        <v>1</v>
      </c>
      <c r="M37" s="9" t="s">
        <v>80</v>
      </c>
      <c r="N37" s="264" t="e">
        <f t="shared" si="2"/>
        <v>#N/A</v>
      </c>
      <c r="O37" s="169">
        <v>2</v>
      </c>
      <c r="P37" s="9" t="s">
        <v>80</v>
      </c>
      <c r="Q37" s="124" t="e">
        <f t="shared" si="3"/>
        <v>#N/A</v>
      </c>
      <c r="R37" s="170">
        <v>2</v>
      </c>
      <c r="S37" s="265" t="str">
        <f t="shared" si="4"/>
        <v>-</v>
      </c>
      <c r="T37" s="124">
        <f t="shared" si="5"/>
        <v>10</v>
      </c>
      <c r="U37" s="28" t="str">
        <f t="shared" si="6"/>
        <v>Pendiente</v>
      </c>
      <c r="V37" s="13" t="str">
        <f>IF(COUNTIF(U19:U59, "Pendiente") &gt; 0,"Pendiente",IF(U37="No aplica","No aplica",IF(U37&gt;=100%,"Muy Bajo",IF(U37&gt;=80%,"Bajo",IF(U37&gt;=60%,"Medio",IF(U37&gt;=40%,"Alto","Muy Alto"))))))</f>
        <v>Pendiente</v>
      </c>
      <c r="W37" s="171" t="str">
        <f t="shared" si="7"/>
        <v>Pendiente</v>
      </c>
      <c r="X37" s="584"/>
      <c r="Y37" s="28" t="str">
        <f t="shared" si="17"/>
        <v>Pendiente</v>
      </c>
      <c r="Z37" s="293">
        <v>1</v>
      </c>
      <c r="AA37" s="532"/>
      <c r="AB37" s="266" t="s">
        <v>302</v>
      </c>
      <c r="AC37" s="165" t="str">
        <f t="shared" si="8"/>
        <v>Pendiente</v>
      </c>
      <c r="AD37" s="326"/>
      <c r="AE37" s="267" t="str">
        <f t="shared" si="10"/>
        <v>Pendiente</v>
      </c>
      <c r="AF37" s="512"/>
      <c r="AG37" s="241"/>
      <c r="AI37" s="118"/>
    </row>
    <row r="38" spans="2:35" ht="218.25" customHeight="1" x14ac:dyDescent="0.45">
      <c r="B38" s="535"/>
      <c r="C38" s="526"/>
      <c r="D38" s="560"/>
      <c r="E38" s="263" t="s">
        <v>388</v>
      </c>
      <c r="F38" s="292" t="s">
        <v>167</v>
      </c>
      <c r="G38" s="36" t="s">
        <v>80</v>
      </c>
      <c r="H38" s="124" t="e">
        <f t="shared" si="0"/>
        <v>#N/A</v>
      </c>
      <c r="I38" s="169">
        <v>2</v>
      </c>
      <c r="J38" s="9" t="s">
        <v>80</v>
      </c>
      <c r="K38" s="124" t="e">
        <f t="shared" si="1"/>
        <v>#N/A</v>
      </c>
      <c r="L38" s="169">
        <v>1</v>
      </c>
      <c r="M38" s="9" t="s">
        <v>80</v>
      </c>
      <c r="N38" s="264" t="e">
        <f t="shared" si="2"/>
        <v>#N/A</v>
      </c>
      <c r="O38" s="169">
        <v>2</v>
      </c>
      <c r="P38" s="9" t="s">
        <v>80</v>
      </c>
      <c r="Q38" s="124" t="e">
        <f t="shared" si="3"/>
        <v>#N/A</v>
      </c>
      <c r="R38" s="170">
        <v>2</v>
      </c>
      <c r="S38" s="265" t="str">
        <f t="shared" si="4"/>
        <v>-</v>
      </c>
      <c r="T38" s="124">
        <f t="shared" si="5"/>
        <v>10</v>
      </c>
      <c r="U38" s="28" t="str">
        <f t="shared" si="6"/>
        <v>Pendiente</v>
      </c>
      <c r="V38" s="13" t="str">
        <f>IF(COUNTIF(U19:U59, "Pendiente") &gt; 0,"Pendiente",IF(U38="No aplica","No aplica",IF(U38&gt;=100%,"Muy Bajo",IF(U38&gt;=80%,"Bajo",IF(U38&gt;=60%,"Medio",IF(U38&gt;=40%,"Alto","Muy Alto"))))))</f>
        <v>Pendiente</v>
      </c>
      <c r="W38" s="171" t="str">
        <f t="shared" si="7"/>
        <v>Pendiente</v>
      </c>
      <c r="X38" s="584"/>
      <c r="Y38" s="28" t="str">
        <f t="shared" si="17"/>
        <v>Pendiente</v>
      </c>
      <c r="Z38" s="293">
        <v>1</v>
      </c>
      <c r="AA38" s="532"/>
      <c r="AB38" s="266" t="s">
        <v>304</v>
      </c>
      <c r="AC38" s="165" t="str">
        <f t="shared" si="8"/>
        <v>Pendiente</v>
      </c>
      <c r="AD38" s="326"/>
      <c r="AE38" s="267" t="str">
        <f t="shared" si="10"/>
        <v>Pendiente</v>
      </c>
      <c r="AF38" s="512"/>
      <c r="AG38" s="241"/>
      <c r="AI38" s="118"/>
    </row>
    <row r="39" spans="2:35" ht="218.25" customHeight="1" x14ac:dyDescent="0.45">
      <c r="B39" s="535"/>
      <c r="C39" s="526"/>
      <c r="D39" s="560"/>
      <c r="E39" s="263" t="s">
        <v>389</v>
      </c>
      <c r="F39" s="292" t="s">
        <v>168</v>
      </c>
      <c r="G39" s="36" t="s">
        <v>80</v>
      </c>
      <c r="H39" s="124" t="e">
        <f t="shared" si="0"/>
        <v>#N/A</v>
      </c>
      <c r="I39" s="169">
        <v>2</v>
      </c>
      <c r="J39" s="9" t="s">
        <v>80</v>
      </c>
      <c r="K39" s="124" t="e">
        <f t="shared" si="1"/>
        <v>#N/A</v>
      </c>
      <c r="L39" s="169">
        <v>1</v>
      </c>
      <c r="M39" s="9" t="s">
        <v>80</v>
      </c>
      <c r="N39" s="264" t="e">
        <f t="shared" si="2"/>
        <v>#N/A</v>
      </c>
      <c r="O39" s="169">
        <v>2</v>
      </c>
      <c r="P39" s="9" t="s">
        <v>80</v>
      </c>
      <c r="Q39" s="124" t="e">
        <f t="shared" si="3"/>
        <v>#N/A</v>
      </c>
      <c r="R39" s="170">
        <v>2</v>
      </c>
      <c r="S39" s="265" t="str">
        <f t="shared" si="4"/>
        <v>-</v>
      </c>
      <c r="T39" s="124">
        <f t="shared" si="5"/>
        <v>10</v>
      </c>
      <c r="U39" s="28" t="str">
        <f t="shared" si="6"/>
        <v>Pendiente</v>
      </c>
      <c r="V39" s="13" t="str">
        <f>IF(COUNTIF(U19:U59, "Pendiente") &gt; 0,"Pendiente",IF(U39="No aplica","No aplica",IF(U39&gt;=100%,"Muy Bajo",IF(U39&gt;=80%,"Bajo",IF(U39&gt;=60%,"Medio",IF(U39&gt;=40%,"Alto","Muy Alto"))))))</f>
        <v>Pendiente</v>
      </c>
      <c r="W39" s="171" t="str">
        <f t="shared" si="7"/>
        <v>Pendiente</v>
      </c>
      <c r="X39" s="584"/>
      <c r="Y39" s="28" t="str">
        <f t="shared" si="17"/>
        <v>Pendiente</v>
      </c>
      <c r="Z39" s="293">
        <v>1</v>
      </c>
      <c r="AA39" s="532"/>
      <c r="AB39" s="266" t="s">
        <v>302</v>
      </c>
      <c r="AC39" s="165" t="str">
        <f t="shared" si="8"/>
        <v>Pendiente</v>
      </c>
      <c r="AD39" s="326"/>
      <c r="AE39" s="267" t="str">
        <f t="shared" si="10"/>
        <v>Pendiente</v>
      </c>
      <c r="AF39" s="512"/>
      <c r="AG39" s="241"/>
      <c r="AI39" s="118"/>
    </row>
    <row r="40" spans="2:35" ht="218.25" customHeight="1" x14ac:dyDescent="0.45">
      <c r="B40" s="535"/>
      <c r="C40" s="526"/>
      <c r="D40" s="560"/>
      <c r="E40" s="263" t="s">
        <v>390</v>
      </c>
      <c r="F40" s="292" t="s">
        <v>169</v>
      </c>
      <c r="G40" s="36" t="s">
        <v>80</v>
      </c>
      <c r="H40" s="124" t="e">
        <f t="shared" si="0"/>
        <v>#N/A</v>
      </c>
      <c r="I40" s="169">
        <v>2</v>
      </c>
      <c r="J40" s="9" t="s">
        <v>80</v>
      </c>
      <c r="K40" s="124" t="e">
        <f t="shared" si="1"/>
        <v>#N/A</v>
      </c>
      <c r="L40" s="169">
        <v>1</v>
      </c>
      <c r="M40" s="9" t="s">
        <v>80</v>
      </c>
      <c r="N40" s="264" t="e">
        <f t="shared" si="2"/>
        <v>#N/A</v>
      </c>
      <c r="O40" s="169">
        <v>2</v>
      </c>
      <c r="P40" s="9" t="s">
        <v>80</v>
      </c>
      <c r="Q40" s="124" t="e">
        <f t="shared" si="3"/>
        <v>#N/A</v>
      </c>
      <c r="R40" s="170">
        <v>2</v>
      </c>
      <c r="S40" s="265" t="str">
        <f t="shared" si="4"/>
        <v>-</v>
      </c>
      <c r="T40" s="124">
        <f t="shared" si="5"/>
        <v>10</v>
      </c>
      <c r="U40" s="28" t="str">
        <f t="shared" si="6"/>
        <v>Pendiente</v>
      </c>
      <c r="V40" s="13" t="str">
        <f>IF(COUNTIF(U19:U59, "Pendiente") &gt; 0,"Pendiente",IF(U40="No aplica","No aplica",IF(U40&gt;=100%,"Muy Bajo",IF(U40&gt;=80%,"Bajo",IF(U40&gt;=60%,"Medio",IF(U40&gt;=40%,"Alto","Muy Alto"))))))</f>
        <v>Pendiente</v>
      </c>
      <c r="W40" s="171" t="str">
        <f t="shared" si="7"/>
        <v>Pendiente</v>
      </c>
      <c r="X40" s="584"/>
      <c r="Y40" s="28" t="str">
        <f t="shared" si="17"/>
        <v>Pendiente</v>
      </c>
      <c r="Z40" s="293">
        <v>1</v>
      </c>
      <c r="AA40" s="532"/>
      <c r="AB40" s="266" t="s">
        <v>302</v>
      </c>
      <c r="AC40" s="165" t="str">
        <f t="shared" si="8"/>
        <v>Pendiente</v>
      </c>
      <c r="AD40" s="326"/>
      <c r="AE40" s="267" t="str">
        <f t="shared" si="10"/>
        <v>Pendiente</v>
      </c>
      <c r="AF40" s="512"/>
      <c r="AG40" s="241"/>
      <c r="AI40" s="118"/>
    </row>
    <row r="41" spans="2:35" ht="240.65" customHeight="1" thickBot="1" x14ac:dyDescent="0.5">
      <c r="B41" s="535"/>
      <c r="C41" s="590"/>
      <c r="D41" s="592"/>
      <c r="E41" s="295" t="s">
        <v>391</v>
      </c>
      <c r="F41" s="296" t="s">
        <v>170</v>
      </c>
      <c r="G41" s="40" t="s">
        <v>80</v>
      </c>
      <c r="H41" s="192" t="e">
        <f t="shared" si="0"/>
        <v>#N/A</v>
      </c>
      <c r="I41" s="193">
        <v>2</v>
      </c>
      <c r="J41" s="25" t="s">
        <v>80</v>
      </c>
      <c r="K41" s="192" t="e">
        <f t="shared" si="1"/>
        <v>#N/A</v>
      </c>
      <c r="L41" s="193">
        <v>1</v>
      </c>
      <c r="M41" s="25" t="s">
        <v>80</v>
      </c>
      <c r="N41" s="271" t="e">
        <f t="shared" si="2"/>
        <v>#N/A</v>
      </c>
      <c r="O41" s="193">
        <v>2</v>
      </c>
      <c r="P41" s="25" t="s">
        <v>80</v>
      </c>
      <c r="Q41" s="192" t="e">
        <f t="shared" si="3"/>
        <v>#N/A</v>
      </c>
      <c r="R41" s="194">
        <v>2</v>
      </c>
      <c r="S41" s="297" t="str">
        <f t="shared" si="4"/>
        <v>-</v>
      </c>
      <c r="T41" s="180">
        <f t="shared" si="5"/>
        <v>10</v>
      </c>
      <c r="U41" s="55" t="str">
        <f t="shared" si="6"/>
        <v>Pendiente</v>
      </c>
      <c r="V41" s="16" t="str">
        <f>IF(COUNTIF(U19:U59, "Pendiente") &gt; 0,"Pendiente",IF(U41="No aplica","No aplica",IF(U41&gt;=100%,"Muy Bajo",IF(U41&gt;=80%,"Bajo",IF(U41&gt;=60%,"Medio",IF(U41&gt;=40%,"Alto","Muy Alto"))))))</f>
        <v>Pendiente</v>
      </c>
      <c r="W41" s="183" t="str">
        <f t="shared" si="7"/>
        <v>Pendiente</v>
      </c>
      <c r="X41" s="585"/>
      <c r="Y41" s="55" t="str">
        <f t="shared" si="17"/>
        <v>Pendiente</v>
      </c>
      <c r="Z41" s="298">
        <v>1</v>
      </c>
      <c r="AA41" s="537"/>
      <c r="AB41" s="299" t="s">
        <v>305</v>
      </c>
      <c r="AC41" s="300" t="str">
        <f t="shared" si="8"/>
        <v>Pendiente</v>
      </c>
      <c r="AD41" s="330"/>
      <c r="AE41" s="301" t="str">
        <f t="shared" si="10"/>
        <v>Pendiente</v>
      </c>
      <c r="AF41" s="576"/>
      <c r="AG41" s="333"/>
      <c r="AI41" s="118"/>
    </row>
    <row r="42" spans="2:35" ht="208.5" customHeight="1" x14ac:dyDescent="0.45">
      <c r="B42" s="535"/>
      <c r="C42" s="525">
        <v>4</v>
      </c>
      <c r="D42" s="574" t="s">
        <v>175</v>
      </c>
      <c r="E42" s="303" t="s">
        <v>392</v>
      </c>
      <c r="F42" s="155" t="s">
        <v>71</v>
      </c>
      <c r="G42" s="38" t="s">
        <v>80</v>
      </c>
      <c r="H42" s="277" t="e">
        <f t="shared" si="0"/>
        <v>#N/A</v>
      </c>
      <c r="I42" s="278">
        <v>2</v>
      </c>
      <c r="J42" s="19" t="s">
        <v>80</v>
      </c>
      <c r="K42" s="277" t="e">
        <f t="shared" si="1"/>
        <v>#N/A</v>
      </c>
      <c r="L42" s="278">
        <v>1</v>
      </c>
      <c r="M42" s="19" t="s">
        <v>80</v>
      </c>
      <c r="N42" s="279" t="e">
        <f t="shared" si="2"/>
        <v>#N/A</v>
      </c>
      <c r="O42" s="278">
        <v>2</v>
      </c>
      <c r="P42" s="19" t="s">
        <v>80</v>
      </c>
      <c r="Q42" s="277" t="e">
        <f t="shared" si="3"/>
        <v>#N/A</v>
      </c>
      <c r="R42" s="280">
        <v>2</v>
      </c>
      <c r="S42" s="156" t="str">
        <f t="shared" si="4"/>
        <v>-</v>
      </c>
      <c r="T42" s="157">
        <f t="shared" si="5"/>
        <v>10</v>
      </c>
      <c r="U42" s="18" t="str">
        <f t="shared" si="6"/>
        <v>Pendiente</v>
      </c>
      <c r="V42" s="11" t="str">
        <f>IF(COUNTIF(U19:U59, "Pendiente") &gt; 0,"Pendiente",IF(U42="No aplica","No aplica",IF(U42&gt;=100%,"Muy Bajo",IF(U42&gt;=80%,"Bajo",IF(U42&gt;=60%,"Medio",IF(U42&gt;=40%,"Alto","Muy Alto"))))))</f>
        <v>Pendiente</v>
      </c>
      <c r="W42" s="160" t="str">
        <f t="shared" si="7"/>
        <v>Pendiente</v>
      </c>
      <c r="X42" s="580">
        <v>2</v>
      </c>
      <c r="Y42" s="12" t="str">
        <f t="shared" si="11"/>
        <v>Pendiente</v>
      </c>
      <c r="Z42" s="161">
        <v>1</v>
      </c>
      <c r="AA42" s="531" t="str">
        <f>IF($G$3="No","No aplica",+IF(COUNTIF(Y42:Y47,"Pendiente")&gt;0,"Pendiente",AVERAGE(4*Y42*1.5,4*Y43*Z43,4*Y44*1.5,4*Y45*1.5,4*Y46*1.5,4*Y47*1.5)))</f>
        <v>Pendiente</v>
      </c>
      <c r="AB42" s="261" t="s">
        <v>306</v>
      </c>
      <c r="AC42" s="153" t="str">
        <f t="shared" si="8"/>
        <v>Pendiente</v>
      </c>
      <c r="AD42" s="328"/>
      <c r="AE42" s="262" t="str">
        <f t="shared" si="10"/>
        <v>Pendiente</v>
      </c>
      <c r="AF42" s="510" t="str">
        <f>IF($G$3="No","No aplica",+IF(AA42="Pendiente","Pendiente",IF(COUNTIF(AD19:AD59,"")&gt;0,"Pendiente",AVERAGE(4*1.5*AE42,4*Z43*AE43,4*1.5*AE44,4*1.5*AE45,4*1.5*AE46,4*1.5*AE47))))</f>
        <v>Pendiente</v>
      </c>
      <c r="AG42" s="240"/>
      <c r="AI42" s="118"/>
    </row>
    <row r="43" spans="2:35" ht="241" customHeight="1" x14ac:dyDescent="0.45">
      <c r="B43" s="535"/>
      <c r="C43" s="526"/>
      <c r="D43" s="568"/>
      <c r="E43" s="304" t="s">
        <v>393</v>
      </c>
      <c r="F43" s="167" t="s">
        <v>87</v>
      </c>
      <c r="G43" s="36" t="s">
        <v>80</v>
      </c>
      <c r="H43" s="124" t="e">
        <f t="shared" si="0"/>
        <v>#N/A</v>
      </c>
      <c r="I43" s="169">
        <v>2</v>
      </c>
      <c r="J43" s="9" t="s">
        <v>80</v>
      </c>
      <c r="K43" s="124" t="e">
        <f t="shared" si="1"/>
        <v>#N/A</v>
      </c>
      <c r="L43" s="169">
        <v>1</v>
      </c>
      <c r="M43" s="9" t="s">
        <v>80</v>
      </c>
      <c r="N43" s="264" t="e">
        <f t="shared" si="2"/>
        <v>#N/A</v>
      </c>
      <c r="O43" s="169">
        <v>2</v>
      </c>
      <c r="P43" s="9" t="s">
        <v>80</v>
      </c>
      <c r="Q43" s="124" t="e">
        <f t="shared" si="3"/>
        <v>#N/A</v>
      </c>
      <c r="R43" s="170">
        <v>2</v>
      </c>
      <c r="S43" s="265" t="str">
        <f t="shared" si="4"/>
        <v>-</v>
      </c>
      <c r="T43" s="124">
        <f t="shared" si="5"/>
        <v>10</v>
      </c>
      <c r="U43" s="28" t="str">
        <f t="shared" si="6"/>
        <v>Pendiente</v>
      </c>
      <c r="V43" s="13" t="str">
        <f>IF(COUNTIF(U19:U59, "Pendiente") &gt; 0,"Pendiente",IF(U43="No aplica","No aplica",IF(U43&gt;=100%,"Muy Bajo",IF(U43&gt;=80%,"Bajo",IF(U43&gt;=60%,"Medio",IF(U43&gt;=40%,"Alto","Muy Alto"))))))</f>
        <v>Pendiente</v>
      </c>
      <c r="W43" s="171" t="str">
        <f t="shared" si="7"/>
        <v>Pendiente</v>
      </c>
      <c r="X43" s="581"/>
      <c r="Y43" s="14" t="str">
        <f t="shared" si="11"/>
        <v>Pendiente</v>
      </c>
      <c r="Z43" s="305">
        <v>3</v>
      </c>
      <c r="AA43" s="532"/>
      <c r="AB43" s="266" t="s">
        <v>307</v>
      </c>
      <c r="AC43" s="165" t="str">
        <f t="shared" si="8"/>
        <v>Pendiente</v>
      </c>
      <c r="AD43" s="326"/>
      <c r="AE43" s="267" t="str">
        <f t="shared" si="10"/>
        <v>Pendiente</v>
      </c>
      <c r="AF43" s="512"/>
      <c r="AG43" s="241"/>
      <c r="AI43" s="118"/>
    </row>
    <row r="44" spans="2:35" ht="183.65" customHeight="1" x14ac:dyDescent="0.45">
      <c r="B44" s="535"/>
      <c r="C44" s="526"/>
      <c r="D44" s="568"/>
      <c r="E44" s="263" t="s">
        <v>394</v>
      </c>
      <c r="F44" s="167" t="s">
        <v>88</v>
      </c>
      <c r="G44" s="36" t="s">
        <v>80</v>
      </c>
      <c r="H44" s="124" t="e">
        <f t="shared" si="0"/>
        <v>#N/A</v>
      </c>
      <c r="I44" s="169">
        <v>2</v>
      </c>
      <c r="J44" s="9" t="s">
        <v>80</v>
      </c>
      <c r="K44" s="124" t="e">
        <f t="shared" si="1"/>
        <v>#N/A</v>
      </c>
      <c r="L44" s="169">
        <v>1</v>
      </c>
      <c r="M44" s="9" t="s">
        <v>80</v>
      </c>
      <c r="N44" s="264" t="e">
        <f t="shared" si="2"/>
        <v>#N/A</v>
      </c>
      <c r="O44" s="169">
        <v>2</v>
      </c>
      <c r="P44" s="9" t="s">
        <v>80</v>
      </c>
      <c r="Q44" s="124" t="e">
        <f t="shared" si="3"/>
        <v>#N/A</v>
      </c>
      <c r="R44" s="170">
        <v>2</v>
      </c>
      <c r="S44" s="265" t="str">
        <f t="shared" si="4"/>
        <v>-</v>
      </c>
      <c r="T44" s="124">
        <f t="shared" si="5"/>
        <v>10</v>
      </c>
      <c r="U44" s="28" t="str">
        <f t="shared" si="6"/>
        <v>Pendiente</v>
      </c>
      <c r="V44" s="13" t="str">
        <f>IF(COUNTIF(U19:U59, "Pendiente") &gt; 0,"Pendiente",IF(U44="No aplica","No aplica",IF(U44&gt;=100%,"Muy Bajo",IF(U44&gt;=80%,"Bajo",IF(U44&gt;=60%,"Medio",IF(U44&gt;=40%,"Alto","Muy Alto"))))))</f>
        <v>Pendiente</v>
      </c>
      <c r="W44" s="171" t="str">
        <f t="shared" si="7"/>
        <v>Pendiente</v>
      </c>
      <c r="X44" s="581"/>
      <c r="Y44" s="14" t="str">
        <f t="shared" ref="Y44" si="18">+W44</f>
        <v>Pendiente</v>
      </c>
      <c r="Z44" s="282">
        <v>1</v>
      </c>
      <c r="AA44" s="532"/>
      <c r="AB44" s="266" t="s">
        <v>308</v>
      </c>
      <c r="AC44" s="165" t="str">
        <f t="shared" si="8"/>
        <v>Pendiente</v>
      </c>
      <c r="AD44" s="326"/>
      <c r="AE44" s="267" t="str">
        <f t="shared" si="10"/>
        <v>Pendiente</v>
      </c>
      <c r="AF44" s="512"/>
      <c r="AG44" s="241"/>
      <c r="AI44" s="118"/>
    </row>
    <row r="45" spans="2:35" ht="226" customHeight="1" x14ac:dyDescent="0.45">
      <c r="B45" s="535"/>
      <c r="C45" s="526"/>
      <c r="D45" s="568"/>
      <c r="E45" s="263" t="s">
        <v>395</v>
      </c>
      <c r="F45" s="167" t="s">
        <v>172</v>
      </c>
      <c r="G45" s="36" t="s">
        <v>80</v>
      </c>
      <c r="H45" s="124" t="e">
        <f t="shared" si="0"/>
        <v>#N/A</v>
      </c>
      <c r="I45" s="169">
        <v>2</v>
      </c>
      <c r="J45" s="9" t="s">
        <v>80</v>
      </c>
      <c r="K45" s="124" t="e">
        <f t="shared" si="1"/>
        <v>#N/A</v>
      </c>
      <c r="L45" s="169">
        <v>1</v>
      </c>
      <c r="M45" s="9" t="s">
        <v>80</v>
      </c>
      <c r="N45" s="264" t="e">
        <f t="shared" si="2"/>
        <v>#N/A</v>
      </c>
      <c r="O45" s="169">
        <v>2</v>
      </c>
      <c r="P45" s="9" t="s">
        <v>80</v>
      </c>
      <c r="Q45" s="124" t="e">
        <f t="shared" si="3"/>
        <v>#N/A</v>
      </c>
      <c r="R45" s="170">
        <v>2</v>
      </c>
      <c r="S45" s="265" t="str">
        <f t="shared" si="4"/>
        <v>-</v>
      </c>
      <c r="T45" s="124">
        <f t="shared" si="5"/>
        <v>10</v>
      </c>
      <c r="U45" s="28" t="str">
        <f t="shared" si="6"/>
        <v>Pendiente</v>
      </c>
      <c r="V45" s="13" t="str">
        <f>IF(COUNTIF(U19:U59, "Pendiente") &gt; 0,"Pendiente",IF(U45="No aplica","No aplica",IF(U45&gt;=100%,"Muy Bajo",IF(U45&gt;=80%,"Bajo",IF(U45&gt;=60%,"Medio",IF(U45&gt;=40%,"Alto","Muy Alto"))))))</f>
        <v>Pendiente</v>
      </c>
      <c r="W45" s="171" t="str">
        <f t="shared" si="7"/>
        <v>Pendiente</v>
      </c>
      <c r="X45" s="581"/>
      <c r="Y45" s="14" t="str">
        <f t="shared" ref="Y45" si="19">+W45</f>
        <v>Pendiente</v>
      </c>
      <c r="Z45" s="282">
        <v>1</v>
      </c>
      <c r="AA45" s="532"/>
      <c r="AB45" s="266" t="s">
        <v>309</v>
      </c>
      <c r="AC45" s="165" t="str">
        <f t="shared" si="8"/>
        <v>Pendiente</v>
      </c>
      <c r="AD45" s="326"/>
      <c r="AE45" s="267" t="str">
        <f t="shared" si="10"/>
        <v>Pendiente</v>
      </c>
      <c r="AF45" s="512"/>
      <c r="AG45" s="241"/>
      <c r="AI45" s="118"/>
    </row>
    <row r="46" spans="2:35" ht="203.15" customHeight="1" x14ac:dyDescent="0.45">
      <c r="B46" s="535"/>
      <c r="C46" s="526"/>
      <c r="D46" s="568"/>
      <c r="E46" s="263" t="s">
        <v>396</v>
      </c>
      <c r="F46" s="167" t="s">
        <v>173</v>
      </c>
      <c r="G46" s="36" t="s">
        <v>80</v>
      </c>
      <c r="H46" s="124" t="e">
        <f t="shared" si="0"/>
        <v>#N/A</v>
      </c>
      <c r="I46" s="169">
        <v>2</v>
      </c>
      <c r="J46" s="9" t="s">
        <v>80</v>
      </c>
      <c r="K46" s="124" t="e">
        <f t="shared" si="1"/>
        <v>#N/A</v>
      </c>
      <c r="L46" s="169">
        <v>1</v>
      </c>
      <c r="M46" s="9" t="s">
        <v>80</v>
      </c>
      <c r="N46" s="264" t="e">
        <f t="shared" si="2"/>
        <v>#N/A</v>
      </c>
      <c r="O46" s="169">
        <v>2</v>
      </c>
      <c r="P46" s="9" t="s">
        <v>80</v>
      </c>
      <c r="Q46" s="124" t="e">
        <f t="shared" si="3"/>
        <v>#N/A</v>
      </c>
      <c r="R46" s="170">
        <v>2</v>
      </c>
      <c r="S46" s="265" t="str">
        <f t="shared" si="4"/>
        <v>-</v>
      </c>
      <c r="T46" s="124">
        <f t="shared" si="5"/>
        <v>10</v>
      </c>
      <c r="U46" s="28" t="str">
        <f t="shared" si="6"/>
        <v>Pendiente</v>
      </c>
      <c r="V46" s="13" t="str">
        <f>IF(COUNTIF(U19:U59, "Pendiente") &gt; 0,"Pendiente",IF(U46="No aplica","No aplica",IF(U46&gt;=100%,"Muy Bajo",IF(U46&gt;=80%,"Bajo",IF(U46&gt;=60%,"Medio",IF(U46&gt;=40%,"Alto","Muy Alto"))))))</f>
        <v>Pendiente</v>
      </c>
      <c r="W46" s="171" t="str">
        <f t="shared" si="7"/>
        <v>Pendiente</v>
      </c>
      <c r="X46" s="581"/>
      <c r="Y46" s="14" t="str">
        <f t="shared" ref="Y46" si="20">+W46</f>
        <v>Pendiente</v>
      </c>
      <c r="Z46" s="282">
        <v>1</v>
      </c>
      <c r="AA46" s="532"/>
      <c r="AB46" s="266" t="s">
        <v>310</v>
      </c>
      <c r="AC46" s="165" t="str">
        <f t="shared" ref="AC46:AC51" si="21">IF($G$3="No","No aplica",IF(OR($G$8="-",G46="-",J46="-",M46="-",P46="-"),"Pendiente",IF(AND(G46="No",J46="Sí",M46="Sí",P46="No"),"En la siguiente columna responda NO","Responda a la pregunta en la siguiente columna ----&gt;")))</f>
        <v>Pendiente</v>
      </c>
      <c r="AD46" s="326"/>
      <c r="AE46" s="267" t="str">
        <f t="shared" si="10"/>
        <v>Pendiente</v>
      </c>
      <c r="AF46" s="512"/>
      <c r="AG46" s="241"/>
      <c r="AI46" s="118"/>
    </row>
    <row r="47" spans="2:35" ht="188.15" customHeight="1" thickBot="1" x14ac:dyDescent="0.5">
      <c r="B47" s="535"/>
      <c r="C47" s="527"/>
      <c r="D47" s="569"/>
      <c r="E47" s="270" t="s">
        <v>397</v>
      </c>
      <c r="F47" s="178" t="s">
        <v>174</v>
      </c>
      <c r="G47" s="40" t="s">
        <v>80</v>
      </c>
      <c r="H47" s="192" t="e">
        <f t="shared" si="0"/>
        <v>#N/A</v>
      </c>
      <c r="I47" s="193">
        <v>2</v>
      </c>
      <c r="J47" s="25" t="s">
        <v>80</v>
      </c>
      <c r="K47" s="192" t="e">
        <f t="shared" si="1"/>
        <v>#N/A</v>
      </c>
      <c r="L47" s="193">
        <v>1</v>
      </c>
      <c r="M47" s="25" t="s">
        <v>80</v>
      </c>
      <c r="N47" s="271" t="e">
        <f t="shared" si="2"/>
        <v>#N/A</v>
      </c>
      <c r="O47" s="193">
        <v>2</v>
      </c>
      <c r="P47" s="25" t="s">
        <v>80</v>
      </c>
      <c r="Q47" s="192" t="e">
        <f t="shared" si="3"/>
        <v>#N/A</v>
      </c>
      <c r="R47" s="194">
        <v>2</v>
      </c>
      <c r="S47" s="272" t="str">
        <f t="shared" si="4"/>
        <v>-</v>
      </c>
      <c r="T47" s="192">
        <f t="shared" si="5"/>
        <v>10</v>
      </c>
      <c r="U47" s="29" t="str">
        <f>IF(S47="-","Pendiente",IF(S47="No aplica","No aplica",S47/T47))</f>
        <v>Pendiente</v>
      </c>
      <c r="V47" s="26" t="str">
        <f>IF(COUNTIF(U19:U59, "Pendiente") &gt; 0,"Pendiente",IF(U47="No aplica","No aplica",IF(U47&gt;=100%,"Muy Bajo",IF(U47&gt;=80%,"Bajo",IF(U47&gt;=60%,"Medio",IF(U47&gt;=40%,"Alto","Muy Alto"))))))</f>
        <v>Pendiente</v>
      </c>
      <c r="W47" s="196" t="str">
        <f t="shared" si="7"/>
        <v>Pendiente</v>
      </c>
      <c r="X47" s="582"/>
      <c r="Y47" s="27" t="str">
        <f t="shared" ref="Y47" si="22">+W47</f>
        <v>Pendiente</v>
      </c>
      <c r="Z47" s="283">
        <v>1</v>
      </c>
      <c r="AA47" s="533"/>
      <c r="AB47" s="273" t="s">
        <v>311</v>
      </c>
      <c r="AC47" s="176" t="str">
        <f t="shared" si="21"/>
        <v>Pendiente</v>
      </c>
      <c r="AD47" s="327"/>
      <c r="AE47" s="274" t="str">
        <f t="shared" si="10"/>
        <v>Pendiente</v>
      </c>
      <c r="AF47" s="511"/>
      <c r="AG47" s="242"/>
      <c r="AI47" s="118"/>
    </row>
    <row r="48" spans="2:35" ht="239.15" customHeight="1" x14ac:dyDescent="0.45">
      <c r="B48" s="535"/>
      <c r="C48" s="571">
        <v>5</v>
      </c>
      <c r="D48" s="574" t="s">
        <v>176</v>
      </c>
      <c r="E48" s="258" t="s">
        <v>398</v>
      </c>
      <c r="F48" s="155" t="s">
        <v>73</v>
      </c>
      <c r="G48" s="38" t="s">
        <v>80</v>
      </c>
      <c r="H48" s="277" t="e">
        <f t="shared" si="0"/>
        <v>#N/A</v>
      </c>
      <c r="I48" s="278">
        <v>2</v>
      </c>
      <c r="J48" s="19" t="s">
        <v>80</v>
      </c>
      <c r="K48" s="277" t="e">
        <f t="shared" si="1"/>
        <v>#N/A</v>
      </c>
      <c r="L48" s="278">
        <v>1</v>
      </c>
      <c r="M48" s="19" t="s">
        <v>80</v>
      </c>
      <c r="N48" s="279" t="e">
        <f t="shared" si="2"/>
        <v>#N/A</v>
      </c>
      <c r="O48" s="278">
        <v>2</v>
      </c>
      <c r="P48" s="19" t="s">
        <v>80</v>
      </c>
      <c r="Q48" s="277" t="e">
        <f t="shared" si="3"/>
        <v>#N/A</v>
      </c>
      <c r="R48" s="280">
        <v>2</v>
      </c>
      <c r="S48" s="156" t="str">
        <f t="shared" si="4"/>
        <v>-</v>
      </c>
      <c r="T48" s="157">
        <f t="shared" si="5"/>
        <v>10</v>
      </c>
      <c r="U48" s="18" t="str">
        <f>IF(S48="-","Pendiente",IF(S48="No aplica","No aplica",+S48/T48))</f>
        <v>Pendiente</v>
      </c>
      <c r="V48" s="11" t="str">
        <f>IF(COUNTIF(U19:U59, "Pendiente") &gt; 0,"Pendiente",IF(U48="No aplica","No aplica",IF(U48&gt;=100%,"Muy Bajo",IF(U48&gt;=80%,"Bajo",IF(U48&gt;=60%,"Medio",IF(U48&gt;=40%,"Alto","Muy Alto"))))))</f>
        <v>Pendiente</v>
      </c>
      <c r="W48" s="160" t="str">
        <f t="shared" si="7"/>
        <v>Pendiente</v>
      </c>
      <c r="X48" s="580">
        <v>2</v>
      </c>
      <c r="Y48" s="12" t="str">
        <f t="shared" si="11"/>
        <v>Pendiente</v>
      </c>
      <c r="Z48" s="260">
        <v>3</v>
      </c>
      <c r="AA48" s="531" t="str">
        <f>IF($G$3="No","No aplica",+IF(COUNTIF(Y48:Y51,"Pendiente")&gt;0,"Pendiente",AVERAGE(4*Y48*Z48,4*Y49*Z49,4*Y50*1.5,4*Y51*Z51)))</f>
        <v>Pendiente</v>
      </c>
      <c r="AB48" s="261" t="s">
        <v>177</v>
      </c>
      <c r="AC48" s="153" t="str">
        <f t="shared" si="21"/>
        <v>Pendiente</v>
      </c>
      <c r="AD48" s="328"/>
      <c r="AE48" s="262" t="str">
        <f t="shared" si="10"/>
        <v>Pendiente</v>
      </c>
      <c r="AF48" s="510" t="str">
        <f>IF($G$3="No","No aplica",+IF(AA48="Pendiente","Pendiente",IF(COUNTIF(AD19:AD59,"")&gt;0,"Pendiente",AVERAGE(4*Z48*AE48,4*Z49*AE49,4*1.5*AE50,4*Z51*AE51))))</f>
        <v>Pendiente</v>
      </c>
      <c r="AG48" s="240"/>
      <c r="AI48" s="118"/>
    </row>
    <row r="49" spans="2:35" ht="163" customHeight="1" x14ac:dyDescent="0.45">
      <c r="B49" s="535"/>
      <c r="C49" s="572"/>
      <c r="D49" s="568"/>
      <c r="E49" s="304" t="s">
        <v>399</v>
      </c>
      <c r="F49" s="167" t="s">
        <v>74</v>
      </c>
      <c r="G49" s="36" t="s">
        <v>80</v>
      </c>
      <c r="H49" s="124" t="e">
        <f t="shared" si="0"/>
        <v>#N/A</v>
      </c>
      <c r="I49" s="169">
        <v>2</v>
      </c>
      <c r="J49" s="9" t="s">
        <v>80</v>
      </c>
      <c r="K49" s="124" t="e">
        <f t="shared" si="1"/>
        <v>#N/A</v>
      </c>
      <c r="L49" s="169">
        <v>1</v>
      </c>
      <c r="M49" s="9" t="s">
        <v>80</v>
      </c>
      <c r="N49" s="264" t="e">
        <f t="shared" si="2"/>
        <v>#N/A</v>
      </c>
      <c r="O49" s="169">
        <v>2</v>
      </c>
      <c r="P49" s="9" t="s">
        <v>80</v>
      </c>
      <c r="Q49" s="124" t="e">
        <f t="shared" si="3"/>
        <v>#N/A</v>
      </c>
      <c r="R49" s="170">
        <v>2</v>
      </c>
      <c r="S49" s="265" t="str">
        <f t="shared" si="4"/>
        <v>-</v>
      </c>
      <c r="T49" s="124">
        <f t="shared" si="5"/>
        <v>10</v>
      </c>
      <c r="U49" s="28" t="str">
        <f>IF(S49="-","Pendiente",IF(S49="No aplica","No aplica",+S49/T49))</f>
        <v>Pendiente</v>
      </c>
      <c r="V49" s="13" t="str">
        <f>IF(COUNTIF(U19:U59, "Pendiente") &gt; 0,"Pendiente",IF(U49="No aplica","No aplica",IF(U49&gt;=100%,"Muy Bajo",IF(U49&gt;=80%,"Bajo",IF(U49&gt;=60%,"Medio",IF(U49&gt;=40%,"Alto","Muy Alto"))))))</f>
        <v>Pendiente</v>
      </c>
      <c r="W49" s="171" t="str">
        <f t="shared" si="7"/>
        <v>Pendiente</v>
      </c>
      <c r="X49" s="581"/>
      <c r="Y49" s="14" t="str">
        <f t="shared" ref="Y49:Y50" si="23">+W49</f>
        <v>Pendiente</v>
      </c>
      <c r="Z49" s="227">
        <v>3</v>
      </c>
      <c r="AA49" s="532"/>
      <c r="AB49" s="266" t="s">
        <v>178</v>
      </c>
      <c r="AC49" s="165" t="str">
        <f t="shared" si="21"/>
        <v>Pendiente</v>
      </c>
      <c r="AD49" s="326"/>
      <c r="AE49" s="267" t="str">
        <f t="shared" si="10"/>
        <v>Pendiente</v>
      </c>
      <c r="AF49" s="512"/>
      <c r="AG49" s="241"/>
      <c r="AI49" s="118"/>
    </row>
    <row r="50" spans="2:35" ht="163" customHeight="1" x14ac:dyDescent="0.45">
      <c r="B50" s="535"/>
      <c r="C50" s="572"/>
      <c r="D50" s="568"/>
      <c r="E50" s="263" t="s">
        <v>400</v>
      </c>
      <c r="F50" s="167" t="s">
        <v>75</v>
      </c>
      <c r="G50" s="36" t="s">
        <v>80</v>
      </c>
      <c r="H50" s="124" t="e">
        <f t="shared" si="0"/>
        <v>#N/A</v>
      </c>
      <c r="I50" s="169">
        <v>2</v>
      </c>
      <c r="J50" s="9" t="s">
        <v>80</v>
      </c>
      <c r="K50" s="124" t="e">
        <f t="shared" si="1"/>
        <v>#N/A</v>
      </c>
      <c r="L50" s="169">
        <v>1</v>
      </c>
      <c r="M50" s="9" t="s">
        <v>80</v>
      </c>
      <c r="N50" s="264" t="e">
        <f t="shared" si="2"/>
        <v>#N/A</v>
      </c>
      <c r="O50" s="169">
        <v>2</v>
      </c>
      <c r="P50" s="9" t="s">
        <v>80</v>
      </c>
      <c r="Q50" s="124" t="e">
        <f t="shared" si="3"/>
        <v>#N/A</v>
      </c>
      <c r="R50" s="170">
        <v>2</v>
      </c>
      <c r="S50" s="265" t="str">
        <f t="shared" si="4"/>
        <v>-</v>
      </c>
      <c r="T50" s="124">
        <f t="shared" si="5"/>
        <v>10</v>
      </c>
      <c r="U50" s="28" t="str">
        <f>IF(S50="-","Pendiente",IF(S50="No aplica","No aplica",+S50/T50))</f>
        <v>Pendiente</v>
      </c>
      <c r="V50" s="13" t="str">
        <f>IF(COUNTIF(U19:U59, "Pendiente") &gt; 0,"Pendiente",IF(U50="No aplica","No aplica",IF(U50&gt;=100%,"Muy Bajo",IF(U50&gt;=80%,"Bajo",IF(U50&gt;=60%,"Medio",IF(U50&gt;=40%,"Alto","Muy Alto"))))))</f>
        <v>Pendiente</v>
      </c>
      <c r="W50" s="171" t="str">
        <f t="shared" si="7"/>
        <v>Pendiente</v>
      </c>
      <c r="X50" s="581"/>
      <c r="Y50" s="28" t="str">
        <f t="shared" si="23"/>
        <v>Pendiente</v>
      </c>
      <c r="Z50" s="282">
        <v>1</v>
      </c>
      <c r="AA50" s="532"/>
      <c r="AB50" s="266" t="s">
        <v>179</v>
      </c>
      <c r="AC50" s="165" t="str">
        <f t="shared" si="21"/>
        <v>Pendiente</v>
      </c>
      <c r="AD50" s="326"/>
      <c r="AE50" s="267" t="str">
        <f t="shared" si="10"/>
        <v>Pendiente</v>
      </c>
      <c r="AF50" s="512"/>
      <c r="AG50" s="241"/>
      <c r="AI50" s="118"/>
    </row>
    <row r="51" spans="2:35" ht="163" customHeight="1" thickBot="1" x14ac:dyDescent="0.5">
      <c r="B51" s="535"/>
      <c r="C51" s="573"/>
      <c r="D51" s="569"/>
      <c r="E51" s="307" t="s">
        <v>401</v>
      </c>
      <c r="F51" s="178" t="s">
        <v>76</v>
      </c>
      <c r="G51" s="40" t="s">
        <v>80</v>
      </c>
      <c r="H51" s="192" t="e">
        <f t="shared" si="0"/>
        <v>#N/A</v>
      </c>
      <c r="I51" s="193">
        <v>2</v>
      </c>
      <c r="J51" s="25" t="s">
        <v>80</v>
      </c>
      <c r="K51" s="192" t="e">
        <f t="shared" si="1"/>
        <v>#N/A</v>
      </c>
      <c r="L51" s="193">
        <v>1</v>
      </c>
      <c r="M51" s="25" t="s">
        <v>80</v>
      </c>
      <c r="N51" s="271" t="e">
        <f t="shared" si="2"/>
        <v>#N/A</v>
      </c>
      <c r="O51" s="193">
        <v>2</v>
      </c>
      <c r="P51" s="25" t="s">
        <v>80</v>
      </c>
      <c r="Q51" s="192" t="e">
        <f t="shared" si="3"/>
        <v>#N/A</v>
      </c>
      <c r="R51" s="194">
        <v>2</v>
      </c>
      <c r="S51" s="272" t="str">
        <f t="shared" si="4"/>
        <v>-</v>
      </c>
      <c r="T51" s="192">
        <f t="shared" si="5"/>
        <v>10</v>
      </c>
      <c r="U51" s="29" t="str">
        <f>IF(S51="-","Pendiente",IF(S51="No aplica","No aplica",S51/T51))</f>
        <v>Pendiente</v>
      </c>
      <c r="V51" s="26" t="str">
        <f>IF(COUNTIF(U19:U59, "Pendiente") &gt; 0,"Pendiente",IF(U51="No aplica","No aplica",IF(U51&gt;=100%,"Muy Bajo",IF(U51&gt;=80%,"Bajo",IF(U51&gt;=60%,"Medio",IF(U51&gt;=40%,"Alto","Muy Alto"))))))</f>
        <v>Pendiente</v>
      </c>
      <c r="W51" s="196" t="str">
        <f t="shared" si="7"/>
        <v>Pendiente</v>
      </c>
      <c r="X51" s="582"/>
      <c r="Y51" s="27" t="str">
        <f t="shared" ref="Y51" si="24">+W51</f>
        <v>Pendiente</v>
      </c>
      <c r="Z51" s="308">
        <v>3</v>
      </c>
      <c r="AA51" s="533"/>
      <c r="AB51" s="273" t="s">
        <v>312</v>
      </c>
      <c r="AC51" s="176" t="str">
        <f t="shared" si="21"/>
        <v>Pendiente</v>
      </c>
      <c r="AD51" s="327"/>
      <c r="AE51" s="274" t="str">
        <f t="shared" si="10"/>
        <v>Pendiente</v>
      </c>
      <c r="AF51" s="511"/>
      <c r="AG51" s="242"/>
      <c r="AI51" s="118"/>
    </row>
    <row r="52" spans="2:35" ht="212.5" customHeight="1" x14ac:dyDescent="0.45">
      <c r="B52" s="535"/>
      <c r="C52" s="566">
        <v>6</v>
      </c>
      <c r="D52" s="567" t="s">
        <v>180</v>
      </c>
      <c r="E52" s="309" t="s">
        <v>402</v>
      </c>
      <c r="F52" s="284" t="s">
        <v>77</v>
      </c>
      <c r="G52" s="38" t="s">
        <v>80</v>
      </c>
      <c r="H52" s="277" t="e">
        <f t="shared" si="0"/>
        <v>#N/A</v>
      </c>
      <c r="I52" s="278">
        <v>2</v>
      </c>
      <c r="J52" s="19" t="s">
        <v>80</v>
      </c>
      <c r="K52" s="277" t="e">
        <f t="shared" si="1"/>
        <v>#N/A</v>
      </c>
      <c r="L52" s="278">
        <v>1</v>
      </c>
      <c r="M52" s="19" t="s">
        <v>80</v>
      </c>
      <c r="N52" s="279" t="e">
        <f t="shared" si="2"/>
        <v>#N/A</v>
      </c>
      <c r="O52" s="278">
        <v>2</v>
      </c>
      <c r="P52" s="19" t="s">
        <v>80</v>
      </c>
      <c r="Q52" s="277" t="e">
        <f t="shared" si="3"/>
        <v>#N/A</v>
      </c>
      <c r="R52" s="280">
        <v>2</v>
      </c>
      <c r="S52" s="276" t="str">
        <f t="shared" si="4"/>
        <v>-</v>
      </c>
      <c r="T52" s="277">
        <f t="shared" si="5"/>
        <v>10</v>
      </c>
      <c r="U52" s="56" t="str">
        <f>IF(S52="-","Pendiente",IF(S52="No aplica","No aplica",+S52/T52))</f>
        <v>Pendiente</v>
      </c>
      <c r="V52" s="20" t="str">
        <f>IF(COUNTIF(U19:U59, "Pendiente") &gt; 0,"Pendiente",IF(U52="No aplica","No aplica",IF(U52&gt;=100%,"Muy Bajo",IF(U52&gt;=80%,"Bajo",IF(U52&gt;=60%,"Medio",IF(U52&gt;=40%,"Alto","Muy Alto"))))))</f>
        <v>Pendiente</v>
      </c>
      <c r="W52" s="287" t="str">
        <f t="shared" si="7"/>
        <v>Pendiente</v>
      </c>
      <c r="X52" s="586">
        <v>1</v>
      </c>
      <c r="Y52" s="24" t="str">
        <f t="shared" si="11"/>
        <v>Pendiente</v>
      </c>
      <c r="Z52" s="310">
        <v>1</v>
      </c>
      <c r="AA52" s="570" t="str">
        <f>IF($G$3="No","No aplica",+IF(COUNTIF(Y52:Y55,"Pendiente")&gt;0,"Pendiente",AVERAGE(3*Y52*1.5,3*Y53*1.5,3*Y54*1.5,3*Y55*1.5)))</f>
        <v>Pendiente</v>
      </c>
      <c r="AB52" s="289" t="s">
        <v>313</v>
      </c>
      <c r="AC52" s="290" t="str">
        <f t="shared" ref="AC52:AC59" si="25">IF($G$3="No","No aplica",IF(OR($G$8="-",G52="-",J52="-",M52="-",P52="-"),"Pendiente",IF(AND(G52="No",J52="Sí",M52="Sí",P52="No"),"En la siguiente columna responda NO", "Responda a la pregunta en la siguiente columna ----&gt;")))</f>
        <v>Pendiente</v>
      </c>
      <c r="AD52" s="329"/>
      <c r="AE52" s="291" t="str">
        <f t="shared" si="10"/>
        <v>Pendiente</v>
      </c>
      <c r="AF52" s="575" t="str">
        <f>IF($G$3="No","No aplica",+IF(AA52="Pendiente","Pendiente",IF(COUNTIF(AD19:AD59,"")&gt;0,"Pendiente",AVERAGE(3*1.5*AE52,3*1.5*AE53,3*1.5*AE54,3*1.5*AE55))))</f>
        <v>Pendiente</v>
      </c>
      <c r="AG52" s="332"/>
      <c r="AI52" s="118"/>
    </row>
    <row r="53" spans="2:35" ht="238.5" customHeight="1" x14ac:dyDescent="0.45">
      <c r="B53" s="535"/>
      <c r="C53" s="526"/>
      <c r="D53" s="568"/>
      <c r="E53" s="311" t="s">
        <v>403</v>
      </c>
      <c r="F53" s="167" t="s">
        <v>96</v>
      </c>
      <c r="G53" s="36" t="s">
        <v>80</v>
      </c>
      <c r="H53" s="124" t="e">
        <f t="shared" si="0"/>
        <v>#N/A</v>
      </c>
      <c r="I53" s="169">
        <v>2</v>
      </c>
      <c r="J53" s="9" t="s">
        <v>80</v>
      </c>
      <c r="K53" s="124" t="e">
        <f t="shared" si="1"/>
        <v>#N/A</v>
      </c>
      <c r="L53" s="169">
        <v>1</v>
      </c>
      <c r="M53" s="9" t="s">
        <v>80</v>
      </c>
      <c r="N53" s="264" t="e">
        <f t="shared" si="2"/>
        <v>#N/A</v>
      </c>
      <c r="O53" s="169">
        <v>2</v>
      </c>
      <c r="P53" s="9" t="s">
        <v>80</v>
      </c>
      <c r="Q53" s="124" t="e">
        <f t="shared" si="3"/>
        <v>#N/A</v>
      </c>
      <c r="R53" s="170">
        <v>2</v>
      </c>
      <c r="S53" s="265" t="str">
        <f t="shared" si="4"/>
        <v>-</v>
      </c>
      <c r="T53" s="124">
        <f t="shared" si="5"/>
        <v>10</v>
      </c>
      <c r="U53" s="28" t="str">
        <f>IF(S53="-","Pendiente",IF(S53="No aplica","No aplica",+S53/T53))</f>
        <v>Pendiente</v>
      </c>
      <c r="V53" s="13" t="str">
        <f>IF(COUNTIF(U19:U59, "Pendiente") &gt; 0,"Pendiente",IF(U53="No aplica","No aplica",IF(U53&gt;=100%,"Muy Bajo",IF(U53&gt;=80%,"Bajo",IF(U53&gt;=60%,"Medio",IF(U53&gt;=40%,"Alto","Muy Alto"))))))</f>
        <v>Pendiente</v>
      </c>
      <c r="W53" s="171" t="str">
        <f t="shared" si="7"/>
        <v>Pendiente</v>
      </c>
      <c r="X53" s="587"/>
      <c r="Y53" s="14" t="str">
        <f t="shared" si="11"/>
        <v>Pendiente</v>
      </c>
      <c r="Z53" s="172">
        <v>1</v>
      </c>
      <c r="AA53" s="532"/>
      <c r="AB53" s="266" t="s">
        <v>181</v>
      </c>
      <c r="AC53" s="165" t="str">
        <f t="shared" si="25"/>
        <v>Pendiente</v>
      </c>
      <c r="AD53" s="326"/>
      <c r="AE53" s="267" t="str">
        <f t="shared" si="10"/>
        <v>Pendiente</v>
      </c>
      <c r="AF53" s="512"/>
      <c r="AG53" s="241"/>
      <c r="AI53" s="118"/>
    </row>
    <row r="54" spans="2:35" ht="194.15" customHeight="1" x14ac:dyDescent="0.45">
      <c r="B54" s="535"/>
      <c r="C54" s="526"/>
      <c r="D54" s="568"/>
      <c r="E54" s="263" t="s">
        <v>404</v>
      </c>
      <c r="F54" s="167" t="s">
        <v>149</v>
      </c>
      <c r="G54" s="36" t="s">
        <v>80</v>
      </c>
      <c r="H54" s="124" t="e">
        <f t="shared" si="0"/>
        <v>#N/A</v>
      </c>
      <c r="I54" s="169">
        <v>2</v>
      </c>
      <c r="J54" s="9" t="s">
        <v>80</v>
      </c>
      <c r="K54" s="124" t="e">
        <f t="shared" si="1"/>
        <v>#N/A</v>
      </c>
      <c r="L54" s="169">
        <v>1</v>
      </c>
      <c r="M54" s="9" t="s">
        <v>80</v>
      </c>
      <c r="N54" s="264" t="e">
        <f t="shared" si="2"/>
        <v>#N/A</v>
      </c>
      <c r="O54" s="169">
        <v>2</v>
      </c>
      <c r="P54" s="9" t="s">
        <v>80</v>
      </c>
      <c r="Q54" s="124" t="e">
        <f t="shared" si="3"/>
        <v>#N/A</v>
      </c>
      <c r="R54" s="170">
        <v>2</v>
      </c>
      <c r="S54" s="265" t="str">
        <f t="shared" si="4"/>
        <v>-</v>
      </c>
      <c r="T54" s="124">
        <f t="shared" si="5"/>
        <v>10</v>
      </c>
      <c r="U54" s="28" t="str">
        <f>IF(S54="-","Pendiente",IF(S54="No aplica","No aplica",S54/T54))</f>
        <v>Pendiente</v>
      </c>
      <c r="V54" s="13" t="str">
        <f>IF(COUNTIF(U19:U59, "Pendiente") &gt; 0,"Pendiente",IF(U54="No aplica","No aplica",IF(U54&gt;=100%,"Muy Bajo",IF(U54&gt;=80%,"Bajo",IF(U54&gt;=60%,"Medio",IF(U54&gt;=40%,"Alto","Muy Alto"))))))</f>
        <v>Pendiente</v>
      </c>
      <c r="W54" s="171" t="str">
        <f t="shared" si="7"/>
        <v>Pendiente</v>
      </c>
      <c r="X54" s="587"/>
      <c r="Y54" s="28" t="str">
        <f t="shared" si="11"/>
        <v>Pendiente</v>
      </c>
      <c r="Z54" s="282">
        <v>1</v>
      </c>
      <c r="AA54" s="532"/>
      <c r="AB54" s="266" t="s">
        <v>314</v>
      </c>
      <c r="AC54" s="165" t="str">
        <f t="shared" si="25"/>
        <v>Pendiente</v>
      </c>
      <c r="AD54" s="326"/>
      <c r="AE54" s="267" t="str">
        <f t="shared" si="10"/>
        <v>Pendiente</v>
      </c>
      <c r="AF54" s="512"/>
      <c r="AG54" s="241"/>
      <c r="AI54" s="118"/>
    </row>
    <row r="55" spans="2:35" ht="182.5" customHeight="1" thickBot="1" x14ac:dyDescent="0.5">
      <c r="B55" s="535"/>
      <c r="C55" s="527"/>
      <c r="D55" s="569"/>
      <c r="E55" s="312" t="s">
        <v>405</v>
      </c>
      <c r="F55" s="178" t="s">
        <v>150</v>
      </c>
      <c r="G55" s="40" t="s">
        <v>80</v>
      </c>
      <c r="H55" s="192" t="e">
        <f t="shared" si="0"/>
        <v>#N/A</v>
      </c>
      <c r="I55" s="193">
        <v>2</v>
      </c>
      <c r="J55" s="25" t="s">
        <v>80</v>
      </c>
      <c r="K55" s="192" t="e">
        <f t="shared" si="1"/>
        <v>#N/A</v>
      </c>
      <c r="L55" s="193">
        <v>1</v>
      </c>
      <c r="M55" s="25" t="s">
        <v>80</v>
      </c>
      <c r="N55" s="271" t="e">
        <f t="shared" si="2"/>
        <v>#N/A</v>
      </c>
      <c r="O55" s="193">
        <v>2</v>
      </c>
      <c r="P55" s="25" t="s">
        <v>80</v>
      </c>
      <c r="Q55" s="192" t="e">
        <f t="shared" si="3"/>
        <v>#N/A</v>
      </c>
      <c r="R55" s="194">
        <v>2</v>
      </c>
      <c r="S55" s="272" t="str">
        <f t="shared" si="4"/>
        <v>-</v>
      </c>
      <c r="T55" s="192">
        <f t="shared" si="5"/>
        <v>10</v>
      </c>
      <c r="U55" s="29" t="str">
        <f>IF(S55="-","Pendiente",IF(S55="No aplica","No aplica",+S55/T55))</f>
        <v>Pendiente</v>
      </c>
      <c r="V55" s="26" t="str">
        <f>IF(COUNTIF(U19:U59, "Pendiente") &gt; 0,"Pendiente",IF(U55="No aplica","No aplica",IF(U55&gt;=100%,"Muy Bajo",IF(U55&gt;=80%,"Bajo",IF(U55&gt;=60%,"Medio",IF(U55&gt;=40%,"Alto","Muy Alto"))))))</f>
        <v>Pendiente</v>
      </c>
      <c r="W55" s="196" t="str">
        <f t="shared" si="7"/>
        <v>Pendiente</v>
      </c>
      <c r="X55" s="588"/>
      <c r="Y55" s="27" t="str">
        <f t="shared" si="11"/>
        <v>Pendiente</v>
      </c>
      <c r="Z55" s="184">
        <v>1</v>
      </c>
      <c r="AA55" s="533"/>
      <c r="AB55" s="273" t="s">
        <v>315</v>
      </c>
      <c r="AC55" s="176" t="str">
        <f t="shared" si="25"/>
        <v>Pendiente</v>
      </c>
      <c r="AD55" s="327"/>
      <c r="AE55" s="274" t="str">
        <f t="shared" si="10"/>
        <v>Pendiente</v>
      </c>
      <c r="AF55" s="511"/>
      <c r="AG55" s="242"/>
      <c r="AI55" s="118"/>
    </row>
    <row r="56" spans="2:35" ht="198.65" customHeight="1" thickBot="1" x14ac:dyDescent="0.5">
      <c r="B56" s="535"/>
      <c r="C56" s="199">
        <v>7</v>
      </c>
      <c r="D56" s="218" t="s">
        <v>182</v>
      </c>
      <c r="E56" s="313" t="s">
        <v>406</v>
      </c>
      <c r="F56" s="190" t="s">
        <v>78</v>
      </c>
      <c r="G56" s="44" t="s">
        <v>80</v>
      </c>
      <c r="H56" s="314" t="e">
        <f t="shared" si="0"/>
        <v>#N/A</v>
      </c>
      <c r="I56" s="315">
        <v>2</v>
      </c>
      <c r="J56" s="45" t="s">
        <v>80</v>
      </c>
      <c r="K56" s="314" t="e">
        <f t="shared" si="1"/>
        <v>#N/A</v>
      </c>
      <c r="L56" s="315">
        <v>1</v>
      </c>
      <c r="M56" s="45" t="s">
        <v>80</v>
      </c>
      <c r="N56" s="316" t="e">
        <f t="shared" si="2"/>
        <v>#N/A</v>
      </c>
      <c r="O56" s="315">
        <v>2</v>
      </c>
      <c r="P56" s="45" t="s">
        <v>80</v>
      </c>
      <c r="Q56" s="314" t="e">
        <f t="shared" si="3"/>
        <v>#N/A</v>
      </c>
      <c r="R56" s="317">
        <v>2</v>
      </c>
      <c r="S56" s="318" t="str">
        <f t="shared" si="4"/>
        <v>-</v>
      </c>
      <c r="T56" s="204">
        <f t="shared" si="5"/>
        <v>10</v>
      </c>
      <c r="U56" s="41" t="str">
        <f>IF(S56="-","Pendiente",IF(S56="No aplica","No aplica",+S56/T56))</f>
        <v>Pendiente</v>
      </c>
      <c r="V56" s="22" t="str">
        <f>IF(COUNTIF(U19:U59, "Pendiente") &gt; 0,"Pendiente",IF(U56="No aplica","No aplica",IF(U56&gt;=100%,"Muy Bajo",IF(U56&gt;=80%,"Bajo",IF(U56&gt;=60%,"Medio",IF(U56&gt;=40%,"Alto","Muy Alto"))))))</f>
        <v>Pendiente</v>
      </c>
      <c r="W56" s="208" t="str">
        <f t="shared" si="7"/>
        <v>Pendiente</v>
      </c>
      <c r="X56" s="319">
        <v>1</v>
      </c>
      <c r="Y56" s="23" t="str">
        <f t="shared" si="11"/>
        <v>Pendiente</v>
      </c>
      <c r="Z56" s="230">
        <v>1</v>
      </c>
      <c r="AA56" s="211" t="str">
        <f>IF($G$3="No","No aplica",+IF(COUNTIF(Y56,"Pendiente")&gt;0,"Pendiente",3*Y56*1.5))</f>
        <v>Pendiente</v>
      </c>
      <c r="AB56" s="320" t="s">
        <v>316</v>
      </c>
      <c r="AC56" s="200" t="str">
        <f t="shared" si="25"/>
        <v>Pendiente</v>
      </c>
      <c r="AD56" s="331"/>
      <c r="AE56" s="321" t="str">
        <f t="shared" si="10"/>
        <v>Pendiente</v>
      </c>
      <c r="AF56" s="215" t="str">
        <f>IF($G$3="No","No aplica",+IF(AA56="Pendiente","Pendiente",IF(COUNTIF(AD19:AD59,"")&gt;0,"Pendiente",AVERAGE(3*AE56*1.5))))</f>
        <v>Pendiente</v>
      </c>
      <c r="AG56" s="243"/>
    </row>
    <row r="57" spans="2:35" ht="262.5" customHeight="1" x14ac:dyDescent="0.45">
      <c r="B57" s="535"/>
      <c r="C57" s="525">
        <v>8</v>
      </c>
      <c r="D57" s="559" t="s">
        <v>222</v>
      </c>
      <c r="E57" s="322" t="s">
        <v>407</v>
      </c>
      <c r="F57" s="155" t="s">
        <v>100</v>
      </c>
      <c r="G57" s="38" t="s">
        <v>80</v>
      </c>
      <c r="H57" s="277" t="e">
        <f t="shared" si="0"/>
        <v>#N/A</v>
      </c>
      <c r="I57" s="278">
        <v>2</v>
      </c>
      <c r="J57" s="19" t="s">
        <v>80</v>
      </c>
      <c r="K57" s="277" t="e">
        <f t="shared" si="1"/>
        <v>#N/A</v>
      </c>
      <c r="L57" s="278">
        <v>1</v>
      </c>
      <c r="M57" s="19" t="s">
        <v>80</v>
      </c>
      <c r="N57" s="279" t="e">
        <f t="shared" si="2"/>
        <v>#N/A</v>
      </c>
      <c r="O57" s="278">
        <v>2</v>
      </c>
      <c r="P57" s="19" t="s">
        <v>80</v>
      </c>
      <c r="Q57" s="277" t="e">
        <f t="shared" si="3"/>
        <v>#N/A</v>
      </c>
      <c r="R57" s="280">
        <v>2</v>
      </c>
      <c r="S57" s="156" t="str">
        <f t="shared" si="4"/>
        <v>-</v>
      </c>
      <c r="T57" s="157">
        <f t="shared" si="5"/>
        <v>10</v>
      </c>
      <c r="U57" s="18" t="str">
        <f>IF(S57="-","Pendiente",IF(S57="No aplica","No aplica",S57/T57))</f>
        <v>Pendiente</v>
      </c>
      <c r="V57" s="11" t="str">
        <f>IF(COUNTIF(U19:U59, "Pendiente") &gt; 0,"Pendiente",IF(U57="No aplica","No aplica",IF(U57&gt;=100%,"Muy Bajo",IF(U57&gt;=80%,"Bajo",IF(U57&gt;=60%,"Medio",IF(U57&gt;=40%,"Alto","Muy Alto"))))))</f>
        <v>Pendiente</v>
      </c>
      <c r="W57" s="160" t="str">
        <f t="shared" si="7"/>
        <v>Pendiente</v>
      </c>
      <c r="X57" s="589">
        <v>1</v>
      </c>
      <c r="Y57" s="12" t="str">
        <f t="shared" si="11"/>
        <v>Pendiente</v>
      </c>
      <c r="Z57" s="222">
        <v>1</v>
      </c>
      <c r="AA57" s="531" t="str">
        <f>IF($G$3="No","No aplica",+IF(COUNTIF(Y57:Y59,"Pendiente")&gt;0,"Pendiente",AVERAGE(3*Y57*1.5,3*Y58*1.5,3*Y59*1.5)))</f>
        <v>Pendiente</v>
      </c>
      <c r="AB57" s="261" t="s">
        <v>317</v>
      </c>
      <c r="AC57" s="153" t="str">
        <f t="shared" si="25"/>
        <v>Pendiente</v>
      </c>
      <c r="AD57" s="328"/>
      <c r="AE57" s="262" t="str">
        <f t="shared" si="10"/>
        <v>Pendiente</v>
      </c>
      <c r="AF57" s="577" t="str">
        <f>IF($G$3="No","No aplica",+IF(AA57="Pendiente","Pendiente",IF(COUNTIF(AD19:AD59,"")&gt;0,"Pendiente",AVERAGE(3*AE57*1.5,3*AE58*1.5,3*AE59*1.5))))</f>
        <v>Pendiente</v>
      </c>
      <c r="AG57" s="240"/>
    </row>
    <row r="58" spans="2:35" ht="160" customHeight="1" x14ac:dyDescent="0.45">
      <c r="B58" s="535"/>
      <c r="C58" s="526"/>
      <c r="D58" s="560"/>
      <c r="E58" s="311" t="s">
        <v>408</v>
      </c>
      <c r="F58" s="167" t="s">
        <v>101</v>
      </c>
      <c r="G58" s="36" t="s">
        <v>80</v>
      </c>
      <c r="H58" s="124" t="e">
        <f t="shared" si="0"/>
        <v>#N/A</v>
      </c>
      <c r="I58" s="169">
        <v>2</v>
      </c>
      <c r="J58" s="9" t="s">
        <v>80</v>
      </c>
      <c r="K58" s="124" t="e">
        <f t="shared" si="1"/>
        <v>#N/A</v>
      </c>
      <c r="L58" s="169">
        <v>1</v>
      </c>
      <c r="M58" s="9" t="s">
        <v>80</v>
      </c>
      <c r="N58" s="264" t="e">
        <f t="shared" si="2"/>
        <v>#N/A</v>
      </c>
      <c r="O58" s="169">
        <v>2</v>
      </c>
      <c r="P58" s="9" t="s">
        <v>80</v>
      </c>
      <c r="Q58" s="124" t="e">
        <f t="shared" si="3"/>
        <v>#N/A</v>
      </c>
      <c r="R58" s="170">
        <v>2</v>
      </c>
      <c r="S58" s="265" t="str">
        <f t="shared" si="4"/>
        <v>-</v>
      </c>
      <c r="T58" s="124">
        <f t="shared" si="5"/>
        <v>10</v>
      </c>
      <c r="U58" s="28" t="str">
        <f>IF(S58="-","Pendiente",IF(S58="No aplica","No aplica",+S58/T58))</f>
        <v>Pendiente</v>
      </c>
      <c r="V58" s="30" t="str">
        <f>IF(COUNTIF(U19:U59, "Pendiente") &gt; 0,"Pendiente",IF(U58="No aplica","No aplica",IF(U58&gt;=100%,"Muy Bajo",IF(U58&gt;=80%,"Bajo",IF(U58&gt;=60%,"Medio",IF(U58&gt;=40%,"Alto","Muy Alto"))))))</f>
        <v>Pendiente</v>
      </c>
      <c r="W58" s="171" t="str">
        <f t="shared" si="7"/>
        <v>Pendiente</v>
      </c>
      <c r="X58" s="587"/>
      <c r="Y58" s="31" t="str">
        <f>+W58</f>
        <v>Pendiente</v>
      </c>
      <c r="Z58" s="323">
        <v>1</v>
      </c>
      <c r="AA58" s="532"/>
      <c r="AB58" s="266" t="s">
        <v>318</v>
      </c>
      <c r="AC58" s="165" t="str">
        <f t="shared" si="25"/>
        <v>Pendiente</v>
      </c>
      <c r="AD58" s="326"/>
      <c r="AE58" s="267" t="str">
        <f t="shared" si="10"/>
        <v>Pendiente</v>
      </c>
      <c r="AF58" s="578"/>
      <c r="AG58" s="241"/>
    </row>
    <row r="59" spans="2:35" ht="289" customHeight="1" thickBot="1" x14ac:dyDescent="0.5">
      <c r="B59" s="536"/>
      <c r="C59" s="527"/>
      <c r="D59" s="561"/>
      <c r="E59" s="312" t="s">
        <v>409</v>
      </c>
      <c r="F59" s="178" t="s">
        <v>102</v>
      </c>
      <c r="G59" s="40" t="s">
        <v>80</v>
      </c>
      <c r="H59" s="192" t="e">
        <f t="shared" si="0"/>
        <v>#N/A</v>
      </c>
      <c r="I59" s="193">
        <v>2</v>
      </c>
      <c r="J59" s="25" t="s">
        <v>80</v>
      </c>
      <c r="K59" s="192" t="e">
        <f t="shared" si="1"/>
        <v>#N/A</v>
      </c>
      <c r="L59" s="193">
        <v>1</v>
      </c>
      <c r="M59" s="25" t="s">
        <v>80</v>
      </c>
      <c r="N59" s="271" t="e">
        <f t="shared" si="2"/>
        <v>#N/A</v>
      </c>
      <c r="O59" s="193">
        <v>2</v>
      </c>
      <c r="P59" s="25" t="s">
        <v>80</v>
      </c>
      <c r="Q59" s="192" t="e">
        <f t="shared" si="3"/>
        <v>#N/A</v>
      </c>
      <c r="R59" s="194">
        <v>2</v>
      </c>
      <c r="S59" s="272" t="str">
        <f t="shared" si="4"/>
        <v>-</v>
      </c>
      <c r="T59" s="192">
        <f t="shared" si="5"/>
        <v>10</v>
      </c>
      <c r="U59" s="29" t="str">
        <f>IF(S59="-","Pendiente",IF(S59="No aplica","No aplica",+S59/T59))</f>
        <v>Pendiente</v>
      </c>
      <c r="V59" s="32" t="str">
        <f>IF(COUNTIF(U19:U59, "Pendiente") &gt; 0,"Pendiente",IF(U59="No aplica","No aplica",IF(U59&gt;=100%,"Muy Bajo",IF(U59&gt;=80%,"Bajo",IF(U59&gt;=60%,"Medio",IF(U59&gt;=40%,"Alto","Muy Alto"))))))</f>
        <v>Pendiente</v>
      </c>
      <c r="W59" s="196" t="str">
        <f t="shared" si="7"/>
        <v>Pendiente</v>
      </c>
      <c r="X59" s="588"/>
      <c r="Y59" s="33" t="str">
        <f>+W59</f>
        <v>Pendiente</v>
      </c>
      <c r="Z59" s="324">
        <v>1</v>
      </c>
      <c r="AA59" s="533"/>
      <c r="AB59" s="273" t="s">
        <v>244</v>
      </c>
      <c r="AC59" s="176" t="str">
        <f t="shared" si="25"/>
        <v>Pendiente</v>
      </c>
      <c r="AD59" s="327"/>
      <c r="AE59" s="274" t="str">
        <f t="shared" si="10"/>
        <v>Pendiente</v>
      </c>
      <c r="AF59" s="579"/>
      <c r="AG59" s="242"/>
    </row>
    <row r="60" spans="2:35" hidden="1" x14ac:dyDescent="0.45">
      <c r="F60" s="593"/>
      <c r="G60" s="555"/>
      <c r="H60" s="555"/>
      <c r="I60" s="555"/>
      <c r="J60" s="555"/>
      <c r="K60" s="555"/>
      <c r="L60" s="555"/>
      <c r="M60" s="555"/>
      <c r="N60" s="555"/>
      <c r="O60" s="555"/>
      <c r="P60" s="555"/>
      <c r="Q60" s="555"/>
      <c r="R60" s="555"/>
      <c r="S60" s="555"/>
      <c r="T60" s="555"/>
      <c r="U60" s="555"/>
      <c r="V60" s="555"/>
      <c r="W60" s="555"/>
      <c r="X60" s="555"/>
      <c r="Y60" s="555"/>
      <c r="Z60" s="555"/>
      <c r="AA60" s="555"/>
      <c r="AB60" s="555"/>
      <c r="AC60" s="555"/>
      <c r="AD60" s="555"/>
      <c r="AE60" s="594"/>
      <c r="AF60" s="595" t="str">
        <f>IF($G$3="No","No aplica",IF(COUNTIF(AF19:AF59,"Pendiente")&gt;0,"Pendiente",IF(AND(V19="Muy Alto",AD19="No",V43="Muy Alto",AD43="No",V48="Muy Alto",AD48="No",V49="Muy Alto",AD49="No",V51="Muy Alto",AD51="No"),150%+SUM(AF27:AF41,AF52:AF59)*0.9/(44.01-6.3-6.3-9.45),IF(AND(V19="Muy Alto",AD19="No",V43="Muy Alto",AD43="No",V48="Muy Alto",AD48="No",V49="Muy Alto",AD49="No"),120%+SUM(AF27:AF41,AF52:AF59)*0.9/(44.01-6.3-6.3-9.45),IF(AND(V19="Muy Alto",AD19="No",V43="Muy Alto",AD43="No",V48="Muy Alto",AD48="No",V51="Muy Alto",AD51="No"),120%+SUM(AF27:AF41,AF52:AF59)*0.9/(44.01-6.3-6.3-9.45),IF(AND(V19="Muy Alto",AD19="No",V43="Muy Alto",AD43="No",V49="Muy Alto",AD49="No",V51="Muy Alto",AD51="No"),120%+SUM(AF27:AF41,AF52:AF59)*0.9/(44.01-6.3-6.3-9.45),IF(AND(V19="Muy Alto",AD19="No",V48="Muy Alto",AD48="No",V49="Muy Alto",AD49="No",V51="Muy Alto",AD51="No"),120%+SUM(AF27:AF47,AF52:AF59)*0.9/(44.01-6.3-9.45),IF(AND(V43="Muy Alto",AD43="No",V48="Muy Alto",AD48="No",V49="Muy Alto",AD49="No",V51="Muy Alto",AD51="No"),120%+SUM(AF19:AF41,AF52:AF59)*0.9/(44.01-6.3-9.45),IF(AND(V19="Muy Alto",AD19="No",V43="Muy Alto",AD43="No",V48="Muy Alto",AD48="No"),90%+SUM(AF27:AF41,AF52:AF59)*0.9/(44.01-6.3-6.3-9.45),IF(AND(V19="Muy Alto",AD19="No",V43="Muy Alto",AD43="No",V49="Muy Alto",AD49="No"),90%+SUM(AF27:AF41,AF52:AF59)*0.9/(44.01-6.3-6.3-9.45),IF(AND(V19="Muy Alto",AD19="No",V43="Muy Alto",AD43="No",V51="Muy Alto",AD51="No"),90%+SUM(AF27:AF41,AF52:AF59)*0.9/(44.01-6.3-6.3-9.45),IF(AND(V19="Muy Alto",AD19="No",V48="Muy Alto",AD48="No",V49="Muy Alto",AD49="No"),90%+SUM(AF27:AF47,AF52:AF59)*0.9/(44.01-6.3-9.45),IF(AND(V19="Muy Alto",AD19="No",V48="Muy Alto",AD48="No",V51="Muy Alto",AD51="No"),90%+SUM(AF27:AF47,AF52:AF59)*0.9/(44.01-6.3-9.45),IF(AND(V19="Muy Alto",AD19="No",V49="Muy Alto",AD49="No",V51="Muy Alto",AD51="No"),90%+SUM(AF27:AF47,AF52:AF59)*0.9/(44.01-6.3-9.45),IF(AND(V43="Muy Alto",AD43="No",V48="Muy Alto",AD48="No",V49="Muy Alto",AD49="No"),90%+SUM(AF19:AF41,AF52:AF59)*0.9/(44.01-6.3-9.45),IF(AND(V43="Muy Alto",AD43="No",V48="Muy Alto",AD48="No",V51="Muy Alto",AD51="No"),90%+SUM(AF19:AF41,AF52:AF59)*0.9/(44.01-6.3-9.45),IF(AND(V43="Muy Alto",AD43="No",V49="Muy Alto",AD49="No",V51="Muy Alto",AD51="No"),90%+SUM(AF19:AF41,AF52:AF59)*0.9/(44.01-6.3-9.45),IF(AND(V48="Muy Alto",AD48="No",V49="Muy Alto",AD49="No",V51="Muy Alto",AD51="No"),90%+SUM(AF19:AF47,AF52:AF59)*0.9/(44.01-9.45),IF(AND(V19="Muy Alto",AD19="No",V43="Muy Alto",AD43="No"),60%+SUM(AF27:AF41,AF48:AF59)*0.9/(44.01-6.3-6.3),IF(AND(V19="Muy Alto",AD19="No",V48="Muy Alto",AD48="No"),60%+SUM(AF27:AF47,AF52:AF59)*0.9/(44.01-6.3-9.45),IF(AND(V19="Muy Alto",AD19="No",V49="Muy Alto",AD49="No"),60%+SUM(AF27:AF47,AF52:AF59)*0.9/(44.01-6.3-9.45),IF(AND(V19="Muy Alto",AD19="No",V51="Muy Alto",AD51="No"),60%+SUM(AF27:AF47,AF52:AF59)*0.9/(44.01-6.3-9.45),IF(AND(V43="Muy Alto",AD43="No",V48="Muy Alto",AD48="No"),60%+SUM(AF19:AF41,AF52:AF59)*0.9/(44.01-6.3-9.45),IF(AND(V43="Muy Alto",AD43="No",V49="Muy Alto",AD49="No"),60%+SUM(AF19:AF41,AF52:AF59)*0.9/(44.01-6.3-9.45),IF(AND(V43="Muy Alto",AD43="No",V51="Muy Alto",AD51="No"),60%+SUM(AF19:AF41,AF52:AF59)*0.9/(44.01-6.3-9.45),IF(AND(V48="Muy Alto",AD48="No",V49="Muy Alto",AD49="No"),60%+SUM(AF19:AF47,AF52:AF59)*0.9/(44.01-9.45),IF(AND(V48="Muy Alto",AD48="No",V51="Muy Alto",AD51="No"),60%+SUM(AF19:AF47,AF52:AF59)*0.9/(44.01-9.45),IF(AND(V49="Muy Alto",AD49="No",V51="Muy Alto",AD51="No"),60%+SUM(AF19:AF47,AF52:AF59)*0.9/(44.01-9.45),IF(AND(V19="Muy Alto",AD19="No"),30%+SUM(AF27:AF59)*0.9/(44.01-6.3),IF(AND(V43="Muy Alto",AD43="No"),30%+SUM(AF19:AF41,AF48:AF59)*0.9/(44.01-6.3),IF(AND(V48="Muy Alto",AD48="No"),30%+SUM(AF19:AF47,AF52:AF59)*0.9/(44.01-9.45),IF(AND(V49="Muy Alto",AD49="No"),30%+SUM(AF19:AF47,AF52:AF59)*0.9/(44.01-9.45),IF(AND(V51="Muy Alto",AD51="No"),30%+SUM(AF19:AF47,AF52:AF59)*0.9/(44.01-9.45),SUM(AF19:AF59)*0.9/44.01)))))))))))))))))))))))))))))))))</f>
        <v>Pendiente</v>
      </c>
    </row>
    <row r="61" spans="2:35" ht="19" hidden="1" thickBot="1" x14ac:dyDescent="0.5">
      <c r="F61" s="550"/>
      <c r="G61" s="551"/>
      <c r="H61" s="551"/>
      <c r="I61" s="551"/>
      <c r="J61" s="551"/>
      <c r="K61" s="551"/>
      <c r="L61" s="551"/>
      <c r="M61" s="551"/>
      <c r="N61" s="551"/>
      <c r="O61" s="551"/>
      <c r="P61" s="551"/>
      <c r="Q61" s="551"/>
      <c r="R61" s="551"/>
      <c r="S61" s="551"/>
      <c r="T61" s="551"/>
      <c r="U61" s="551"/>
      <c r="V61" s="551"/>
      <c r="W61" s="551"/>
      <c r="X61" s="551"/>
      <c r="Y61" s="551"/>
      <c r="Z61" s="551"/>
      <c r="AA61" s="551"/>
      <c r="AB61" s="551"/>
      <c r="AC61" s="551"/>
      <c r="AD61" s="551"/>
      <c r="AE61" s="552"/>
      <c r="AF61" s="596"/>
    </row>
    <row r="62" spans="2:35" x14ac:dyDescent="0.45">
      <c r="F62" s="593" t="s">
        <v>410</v>
      </c>
      <c r="G62" s="555"/>
      <c r="H62" s="555"/>
      <c r="I62" s="555"/>
      <c r="J62" s="555"/>
      <c r="K62" s="555"/>
      <c r="L62" s="555"/>
      <c r="M62" s="555"/>
      <c r="N62" s="555"/>
      <c r="O62" s="555"/>
      <c r="P62" s="555"/>
      <c r="Q62" s="555"/>
      <c r="R62" s="555"/>
      <c r="S62" s="555"/>
      <c r="T62" s="555"/>
      <c r="U62" s="555"/>
      <c r="V62" s="555"/>
      <c r="W62" s="555"/>
      <c r="X62" s="555"/>
      <c r="Y62" s="555"/>
      <c r="Z62" s="555"/>
      <c r="AA62" s="555"/>
      <c r="AB62" s="555"/>
      <c r="AC62" s="555"/>
      <c r="AD62" s="555"/>
      <c r="AE62" s="594"/>
      <c r="AF62" s="556" t="str">
        <f>IF($G$3="No","No aplica",IF(COUNTIF(AF19:AF59,"Pendiente")&gt;0,"Pendiente",IF(AF60&gt;=90%,90%,AF60)))</f>
        <v>Pendiente</v>
      </c>
    </row>
    <row r="63" spans="2:35" ht="19" thickBot="1" x14ac:dyDescent="0.5">
      <c r="F63" s="550"/>
      <c r="G63" s="551"/>
      <c r="H63" s="551"/>
      <c r="I63" s="551"/>
      <c r="J63" s="551"/>
      <c r="K63" s="551"/>
      <c r="L63" s="551"/>
      <c r="M63" s="551"/>
      <c r="N63" s="551"/>
      <c r="O63" s="551"/>
      <c r="P63" s="551"/>
      <c r="Q63" s="551"/>
      <c r="R63" s="551"/>
      <c r="S63" s="551"/>
      <c r="T63" s="551"/>
      <c r="U63" s="551"/>
      <c r="V63" s="551"/>
      <c r="W63" s="551"/>
      <c r="X63" s="551"/>
      <c r="Y63" s="551"/>
      <c r="Z63" s="551"/>
      <c r="AA63" s="551"/>
      <c r="AB63" s="551"/>
      <c r="AC63" s="551"/>
      <c r="AD63" s="551"/>
      <c r="AE63" s="552"/>
      <c r="AF63" s="554"/>
    </row>
    <row r="71" spans="1:5" x14ac:dyDescent="0.45">
      <c r="A71" s="497"/>
      <c r="B71" s="497"/>
      <c r="C71" s="497"/>
      <c r="D71" s="498"/>
      <c r="E71" s="497"/>
    </row>
    <row r="72" spans="1:5" x14ac:dyDescent="0.45">
      <c r="A72" s="497"/>
      <c r="B72" s="497"/>
      <c r="C72" s="497"/>
      <c r="D72" s="498"/>
      <c r="E72" s="497"/>
    </row>
    <row r="73" spans="1:5" x14ac:dyDescent="0.45">
      <c r="A73" s="497"/>
      <c r="B73" s="497"/>
      <c r="C73" s="497"/>
      <c r="D73" s="498"/>
      <c r="E73" s="497"/>
    </row>
    <row r="74" spans="1:5" x14ac:dyDescent="0.45">
      <c r="A74" s="497"/>
      <c r="B74" s="497"/>
      <c r="C74" s="497"/>
      <c r="D74" s="498"/>
      <c r="E74" s="497"/>
    </row>
    <row r="75" spans="1:5" x14ac:dyDescent="0.45">
      <c r="A75" s="497"/>
      <c r="B75" s="497"/>
      <c r="C75" s="497"/>
      <c r="D75" s="498"/>
      <c r="E75" s="497"/>
    </row>
    <row r="76" spans="1:5" x14ac:dyDescent="0.45">
      <c r="A76" s="497"/>
      <c r="B76" s="497"/>
      <c r="C76" s="497"/>
      <c r="D76" s="498"/>
      <c r="E76" s="497"/>
    </row>
    <row r="77" spans="1:5" x14ac:dyDescent="0.45">
      <c r="A77" s="497"/>
      <c r="B77" s="497"/>
      <c r="C77" s="497"/>
      <c r="D77" s="498"/>
      <c r="E77" s="497"/>
    </row>
    <row r="78" spans="1:5" x14ac:dyDescent="0.45">
      <c r="A78" s="497"/>
      <c r="B78" s="497"/>
      <c r="C78" s="497"/>
      <c r="D78" s="498"/>
      <c r="E78" s="497"/>
    </row>
    <row r="79" spans="1:5" x14ac:dyDescent="0.45">
      <c r="A79" s="497"/>
      <c r="B79" s="497"/>
      <c r="C79" s="497"/>
      <c r="D79" s="498"/>
      <c r="E79" s="497"/>
    </row>
    <row r="80" spans="1:5" x14ac:dyDescent="0.45">
      <c r="A80" s="497"/>
      <c r="B80" s="497"/>
      <c r="C80" s="497"/>
      <c r="D80" s="498"/>
      <c r="E80" s="497"/>
    </row>
    <row r="81" spans="1:23" x14ac:dyDescent="0.45">
      <c r="A81" s="497"/>
      <c r="B81" s="497"/>
      <c r="C81" s="497"/>
      <c r="D81" s="498"/>
      <c r="E81" s="497"/>
    </row>
    <row r="82" spans="1:23" x14ac:dyDescent="0.45">
      <c r="A82" s="497"/>
      <c r="B82" s="497"/>
      <c r="C82" s="497"/>
      <c r="D82" s="498"/>
      <c r="E82" s="497"/>
    </row>
    <row r="83" spans="1:23" x14ac:dyDescent="0.45">
      <c r="A83" s="497"/>
      <c r="B83" s="497"/>
      <c r="C83" s="497"/>
      <c r="D83" s="498"/>
      <c r="E83" s="497"/>
    </row>
    <row r="84" spans="1:23" x14ac:dyDescent="0.45">
      <c r="A84" s="497"/>
      <c r="B84" s="497"/>
      <c r="C84" s="497"/>
      <c r="D84" s="498"/>
      <c r="E84" s="497"/>
    </row>
    <row r="85" spans="1:23" x14ac:dyDescent="0.45">
      <c r="A85" s="497"/>
      <c r="B85" s="497"/>
      <c r="C85" s="497"/>
      <c r="D85" s="498"/>
      <c r="E85" s="497"/>
    </row>
    <row r="86" spans="1:23" x14ac:dyDescent="0.45">
      <c r="A86" s="497"/>
      <c r="B86" s="497"/>
      <c r="C86" s="497"/>
      <c r="D86" s="498"/>
      <c r="E86" s="497"/>
    </row>
    <row r="87" spans="1:23" x14ac:dyDescent="0.45">
      <c r="A87" s="497"/>
      <c r="B87" s="499" t="s">
        <v>80</v>
      </c>
      <c r="C87" s="497"/>
      <c r="D87" s="498"/>
      <c r="E87" s="497"/>
    </row>
    <row r="88" spans="1:23" x14ac:dyDescent="0.45">
      <c r="A88" s="497"/>
      <c r="B88" s="499" t="s">
        <v>44</v>
      </c>
      <c r="C88" s="497"/>
      <c r="D88" s="498"/>
      <c r="E88" s="497"/>
    </row>
    <row r="89" spans="1:23" x14ac:dyDescent="0.45">
      <c r="A89" s="497"/>
      <c r="B89" s="499" t="s">
        <v>64</v>
      </c>
      <c r="C89" s="497"/>
      <c r="D89" s="498"/>
      <c r="E89" s="497"/>
    </row>
    <row r="90" spans="1:23" x14ac:dyDescent="0.45">
      <c r="A90" s="497"/>
      <c r="B90" s="497"/>
      <c r="C90" s="497"/>
      <c r="D90" s="498"/>
      <c r="E90" s="497"/>
    </row>
    <row r="91" spans="1:23" x14ac:dyDescent="0.45">
      <c r="A91" s="497"/>
      <c r="B91" s="499" t="s">
        <v>80</v>
      </c>
      <c r="C91" s="497"/>
      <c r="D91" s="498"/>
      <c r="E91" s="497"/>
    </row>
    <row r="92" spans="1:23" x14ac:dyDescent="0.45">
      <c r="A92" s="497"/>
      <c r="B92" s="499" t="s">
        <v>44</v>
      </c>
      <c r="C92" s="498">
        <v>1</v>
      </c>
      <c r="D92" s="499" t="s">
        <v>46</v>
      </c>
      <c r="E92" s="497"/>
      <c r="W92" s="118"/>
    </row>
    <row r="93" spans="1:23" x14ac:dyDescent="0.45">
      <c r="A93" s="497"/>
      <c r="B93" s="499" t="s">
        <v>64</v>
      </c>
      <c r="C93" s="498">
        <v>3</v>
      </c>
      <c r="D93" s="497"/>
      <c r="E93" s="497"/>
    </row>
    <row r="94" spans="1:23" x14ac:dyDescent="0.45">
      <c r="A94" s="497"/>
      <c r="B94" s="497"/>
      <c r="C94" s="497"/>
      <c r="D94" s="498"/>
      <c r="E94" s="497"/>
    </row>
    <row r="95" spans="1:23" x14ac:dyDescent="0.45">
      <c r="A95" s="497"/>
      <c r="B95" s="499" t="s">
        <v>80</v>
      </c>
      <c r="C95" s="497"/>
      <c r="D95" s="498"/>
      <c r="E95" s="497"/>
    </row>
    <row r="96" spans="1:23" x14ac:dyDescent="0.45">
      <c r="A96" s="497"/>
      <c r="B96" s="499" t="s">
        <v>44</v>
      </c>
      <c r="C96" s="498">
        <v>2</v>
      </c>
      <c r="D96" s="499" t="s">
        <v>81</v>
      </c>
      <c r="E96" s="497"/>
    </row>
    <row r="97" spans="1:5" x14ac:dyDescent="0.45">
      <c r="A97" s="497"/>
      <c r="B97" s="499" t="s">
        <v>64</v>
      </c>
      <c r="C97" s="498">
        <v>0</v>
      </c>
      <c r="D97" s="497"/>
      <c r="E97" s="497"/>
    </row>
    <row r="98" spans="1:5" x14ac:dyDescent="0.45">
      <c r="A98" s="497"/>
      <c r="B98" s="497"/>
      <c r="C98" s="497"/>
      <c r="D98" s="498"/>
      <c r="E98" s="497"/>
    </row>
    <row r="99" spans="1:5" x14ac:dyDescent="0.45">
      <c r="A99" s="497"/>
      <c r="B99" s="499" t="s">
        <v>80</v>
      </c>
      <c r="C99" s="497"/>
      <c r="D99" s="498"/>
      <c r="E99" s="497"/>
    </row>
    <row r="100" spans="1:5" x14ac:dyDescent="0.45">
      <c r="A100" s="497"/>
      <c r="B100" s="499" t="s">
        <v>44</v>
      </c>
      <c r="C100" s="498">
        <v>0</v>
      </c>
      <c r="D100" s="499" t="s">
        <v>50</v>
      </c>
      <c r="E100" s="497"/>
    </row>
    <row r="101" spans="1:5" x14ac:dyDescent="0.45">
      <c r="A101" s="497"/>
      <c r="B101" s="499" t="s">
        <v>64</v>
      </c>
      <c r="C101" s="498">
        <v>1</v>
      </c>
      <c r="D101" s="497"/>
      <c r="E101" s="497"/>
    </row>
    <row r="102" spans="1:5" x14ac:dyDescent="0.45">
      <c r="A102" s="497"/>
      <c r="B102" s="497"/>
      <c r="C102" s="497"/>
      <c r="D102" s="498"/>
      <c r="E102" s="497"/>
    </row>
    <row r="103" spans="1:5" x14ac:dyDescent="0.45">
      <c r="A103" s="497"/>
      <c r="B103" s="497"/>
      <c r="C103" s="497"/>
      <c r="D103" s="498"/>
      <c r="E103" s="497"/>
    </row>
    <row r="104" spans="1:5" x14ac:dyDescent="0.45">
      <c r="A104" s="497"/>
      <c r="B104" s="499" t="s">
        <v>80</v>
      </c>
      <c r="C104" s="497"/>
      <c r="D104" s="498"/>
      <c r="E104" s="497"/>
    </row>
    <row r="105" spans="1:5" x14ac:dyDescent="0.45">
      <c r="A105" s="497"/>
      <c r="B105" s="499" t="s">
        <v>44</v>
      </c>
      <c r="C105" s="498">
        <v>0</v>
      </c>
      <c r="D105" s="499" t="s">
        <v>51</v>
      </c>
      <c r="E105" s="497"/>
    </row>
    <row r="106" spans="1:5" x14ac:dyDescent="0.45">
      <c r="A106" s="497"/>
      <c r="B106" s="499" t="s">
        <v>64</v>
      </c>
      <c r="C106" s="498">
        <v>2</v>
      </c>
      <c r="D106" s="497"/>
      <c r="E106" s="497"/>
    </row>
    <row r="107" spans="1:5" x14ac:dyDescent="0.45">
      <c r="A107" s="497"/>
      <c r="B107" s="497"/>
      <c r="C107" s="497"/>
      <c r="D107" s="498"/>
      <c r="E107" s="497"/>
    </row>
    <row r="108" spans="1:5" x14ac:dyDescent="0.45">
      <c r="A108" s="497"/>
      <c r="B108" s="497"/>
      <c r="C108" s="497"/>
      <c r="D108" s="498"/>
      <c r="E108" s="497"/>
    </row>
    <row r="109" spans="1:5" x14ac:dyDescent="0.45">
      <c r="A109" s="497"/>
      <c r="B109" s="497"/>
      <c r="C109" s="497"/>
      <c r="D109" s="498"/>
      <c r="E109" s="497"/>
    </row>
    <row r="110" spans="1:5" x14ac:dyDescent="0.45">
      <c r="A110" s="497"/>
      <c r="B110" s="497"/>
      <c r="C110" s="497"/>
      <c r="D110" s="498"/>
      <c r="E110" s="497"/>
    </row>
    <row r="111" spans="1:5" x14ac:dyDescent="0.45">
      <c r="A111" s="497"/>
      <c r="B111" s="497"/>
      <c r="C111" s="497"/>
      <c r="D111" s="498"/>
      <c r="E111" s="497"/>
    </row>
  </sheetData>
  <sheetProtection algorithmName="SHA-512" hashValue="8CAhx0ByFqbrKemm54JI72uADn2CUYF1mcYeRcXh6Jk4QjTYwq1cBVl/yhxYgmu8eCwUbTrPmlUJuDRH3m13AQ==" saltValue="MRWSFmN9t9M0awCbiSiJ/w==" spinCount="100000" sheet="1" objects="1" scenarios="1"/>
  <mergeCells count="52">
    <mergeCell ref="F62:AE63"/>
    <mergeCell ref="AF62:AF63"/>
    <mergeCell ref="AF60:AF61"/>
    <mergeCell ref="F60:AE61"/>
    <mergeCell ref="C57:C59"/>
    <mergeCell ref="D57:D59"/>
    <mergeCell ref="B19:B59"/>
    <mergeCell ref="AA57:AA59"/>
    <mergeCell ref="AF57:AF59"/>
    <mergeCell ref="X19:X26"/>
    <mergeCell ref="X32:X41"/>
    <mergeCell ref="X42:X47"/>
    <mergeCell ref="X48:X51"/>
    <mergeCell ref="X52:X55"/>
    <mergeCell ref="X57:X59"/>
    <mergeCell ref="C19:C26"/>
    <mergeCell ref="D19:D26"/>
    <mergeCell ref="AA19:AA26"/>
    <mergeCell ref="AF52:AF55"/>
    <mergeCell ref="C32:C41"/>
    <mergeCell ref="D32:D41"/>
    <mergeCell ref="AA32:AA41"/>
    <mergeCell ref="AF48:AF51"/>
    <mergeCell ref="AF32:AF41"/>
    <mergeCell ref="C42:C47"/>
    <mergeCell ref="D42:D47"/>
    <mergeCell ref="AA42:AA47"/>
    <mergeCell ref="AF42:AF47"/>
    <mergeCell ref="C52:C55"/>
    <mergeCell ref="D52:D55"/>
    <mergeCell ref="AA52:AA55"/>
    <mergeCell ref="C48:C51"/>
    <mergeCell ref="D48:D51"/>
    <mergeCell ref="AA48:AA51"/>
    <mergeCell ref="D1:E1"/>
    <mergeCell ref="D5:E5"/>
    <mergeCell ref="D10:E10"/>
    <mergeCell ref="E18:F18"/>
    <mergeCell ref="C18:D18"/>
    <mergeCell ref="E3:F3"/>
    <mergeCell ref="E8:F8"/>
    <mergeCell ref="E15:F15"/>
    <mergeCell ref="E14:F14"/>
    <mergeCell ref="E13:F13"/>
    <mergeCell ref="E12:F12"/>
    <mergeCell ref="AC18:AD18"/>
    <mergeCell ref="AF19:AF26"/>
    <mergeCell ref="C27:C31"/>
    <mergeCell ref="D27:D31"/>
    <mergeCell ref="X27:X31"/>
    <mergeCell ref="AA27:AA31"/>
    <mergeCell ref="AF27:AF31"/>
  </mergeCells>
  <phoneticPr fontId="4" type="noConversion"/>
  <conditionalFormatting sqref="G3 G19:Q59">
    <cfRule type="cellIs" dxfId="217" priority="27" stopIfTrue="1" operator="equal">
      <formula>"-"</formula>
    </cfRule>
  </conditionalFormatting>
  <conditionalFormatting sqref="G8">
    <cfRule type="cellIs" dxfId="216" priority="26" stopIfTrue="1" operator="equal">
      <formula>"-"</formula>
    </cfRule>
  </conditionalFormatting>
  <conditionalFormatting sqref="U19:U59">
    <cfRule type="expression" dxfId="215" priority="33">
      <formula>+$U19="pendiente"</formula>
    </cfRule>
  </conditionalFormatting>
  <conditionalFormatting sqref="V19:V59">
    <cfRule type="expression" dxfId="214" priority="72">
      <formula>+$V19="Medio"</formula>
    </cfRule>
    <cfRule type="expression" dxfId="213" priority="71">
      <formula>+$V19="Alto"</formula>
    </cfRule>
    <cfRule type="expression" dxfId="212" priority="70">
      <formula>+$V19="Muy Alto"</formula>
    </cfRule>
    <cfRule type="expression" dxfId="211" priority="32">
      <formula>+$V19="pendiente"</formula>
    </cfRule>
    <cfRule type="expression" dxfId="210" priority="73">
      <formula>+$V19="Bajo"</formula>
    </cfRule>
    <cfRule type="expression" dxfId="209" priority="74">
      <formula>+$V19="Muy Bajo"</formula>
    </cfRule>
  </conditionalFormatting>
  <conditionalFormatting sqref="W19:W59">
    <cfRule type="expression" dxfId="208" priority="31">
      <formula>+$W19="pendiente"</formula>
    </cfRule>
  </conditionalFormatting>
  <conditionalFormatting sqref="Y19:Y59">
    <cfRule type="expression" dxfId="207" priority="62">
      <formula>+$Y19="pendiente"</formula>
    </cfRule>
  </conditionalFormatting>
  <conditionalFormatting sqref="AA19:AA27 AA32:AA59">
    <cfRule type="expression" dxfId="206" priority="30">
      <formula>+$AA19="pendiente"</formula>
    </cfRule>
  </conditionalFormatting>
  <conditionalFormatting sqref="AC19:AC59 AC20:AD59">
    <cfRule type="expression" dxfId="205" priority="9">
      <formula>+$AC19="-"</formula>
    </cfRule>
  </conditionalFormatting>
  <conditionalFormatting sqref="AC19:AC59">
    <cfRule type="cellIs" dxfId="204" priority="6" operator="equal">
      <formula>"En la siguiente columna responda NO"</formula>
    </cfRule>
  </conditionalFormatting>
  <conditionalFormatting sqref="AD19">
    <cfRule type="cellIs" dxfId="203" priority="7" operator="equal">
      <formula>"No"</formula>
    </cfRule>
    <cfRule type="cellIs" dxfId="202" priority="8" operator="equal">
      <formula>"Sí"</formula>
    </cfRule>
  </conditionalFormatting>
  <conditionalFormatting sqref="AD19:AD59">
    <cfRule type="cellIs" dxfId="201" priority="10" operator="equal">
      <formula>"No"</formula>
    </cfRule>
    <cfRule type="cellIs" dxfId="200" priority="11" operator="equal">
      <formula>"Sí"</formula>
    </cfRule>
  </conditionalFormatting>
  <conditionalFormatting sqref="AE19:AE59">
    <cfRule type="expression" dxfId="199" priority="29">
      <formula>+$AE19="pendiente"</formula>
    </cfRule>
  </conditionalFormatting>
  <conditionalFormatting sqref="AF19:AF27 AF32:AF57">
    <cfRule type="colorScale" priority="559">
      <colorScale>
        <cfvo type="min"/>
        <cfvo type="percentile" val="50"/>
        <cfvo type="max"/>
        <color rgb="FFF8696B"/>
        <color rgb="FFFFEB84"/>
        <color rgb="FF63BE7B"/>
      </colorScale>
    </cfRule>
    <cfRule type="expression" dxfId="198" priority="554">
      <formula>+$AF19="pendiente"</formula>
    </cfRule>
    <cfRule type="cellIs" dxfId="197" priority="555" operator="between">
      <formula>0</formula>
      <formula>1.349999999999</formula>
    </cfRule>
    <cfRule type="cellIs" dxfId="196" priority="556" operator="between">
      <formula>1.35</formula>
      <formula>2.69999999</formula>
    </cfRule>
    <cfRule type="cellIs" dxfId="195" priority="557" operator="between">
      <formula>2.7</formula>
      <formula>5.3999999</formula>
    </cfRule>
    <cfRule type="cellIs" dxfId="194" priority="558" operator="between">
      <formula>5.4</formula>
      <formula>10.8</formula>
    </cfRule>
  </conditionalFormatting>
  <conditionalFormatting sqref="AF60">
    <cfRule type="cellIs" dxfId="193" priority="16" operator="between">
      <formula>0.5</formula>
      <formula>100</formula>
    </cfRule>
    <cfRule type="cellIs" dxfId="192" priority="15" operator="between">
      <formula>0.25</formula>
      <formula>0.49999</formula>
    </cfRule>
    <cfRule type="cellIs" dxfId="191" priority="14" operator="between">
      <formula>0.1</formula>
      <formula>0.249999</formula>
    </cfRule>
    <cfRule type="cellIs" dxfId="190" priority="13" operator="between">
      <formula>0</formula>
      <formula>0.099999</formula>
    </cfRule>
    <cfRule type="containsText" dxfId="189" priority="12" operator="containsText" text="pendiente">
      <formula>NOT(ISERROR(SEARCH("pendiente",AF60)))</formula>
    </cfRule>
  </conditionalFormatting>
  <conditionalFormatting sqref="AF62">
    <cfRule type="cellIs" dxfId="188" priority="3" operator="between">
      <formula>0.1</formula>
      <formula>0.2499999</formula>
    </cfRule>
    <cfRule type="cellIs" dxfId="187" priority="2" operator="between">
      <formula>0</formula>
      <formula>0.09999</formula>
    </cfRule>
    <cfRule type="cellIs" dxfId="186" priority="5" operator="between">
      <formula>0.5</formula>
      <formula>100</formula>
    </cfRule>
    <cfRule type="cellIs" dxfId="185" priority="4" operator="between">
      <formula>0.25</formula>
      <formula>0.49999</formula>
    </cfRule>
    <cfRule type="cellIs" dxfId="184" priority="1" operator="equal">
      <formula>"pendiente"</formula>
    </cfRule>
  </conditionalFormatting>
  <dataValidations count="6">
    <dataValidation type="list" allowBlank="1" showInputMessage="1" showErrorMessage="1" sqref="F9:F11" xr:uid="{7CA46B73-6BD6-4CDF-B539-CFA0BFF90CBC}">
      <formula1>$C$82:$C$83</formula1>
    </dataValidation>
    <dataValidation type="list" allowBlank="1" showInputMessage="1" showErrorMessage="1" sqref="G8" xr:uid="{9552448E-1ACA-42BB-91C6-CD364BFFF409}">
      <formula1>$B$91:$B$93</formula1>
    </dataValidation>
    <dataValidation type="list" allowBlank="1" showInputMessage="1" showErrorMessage="1" sqref="G3" xr:uid="{D802E5D9-17C5-4EC0-B4B7-31E365ADCA07}">
      <formula1>$B$87:$B$89</formula1>
    </dataValidation>
    <dataValidation type="list" allowBlank="1" showInputMessage="1" showErrorMessage="1" sqref="G19:G59 J19:J59 M19:M59 P19:P59" xr:uid="{E34BF488-003D-41A7-A315-937169C8085C}">
      <formula1>$B$99:$B$101</formula1>
    </dataValidation>
    <dataValidation type="list" allowBlank="1" showInputMessage="1" showErrorMessage="1" sqref="AD20:AD59" xr:uid="{BCF1A0DC-1E59-4B89-8330-469789896006}">
      <formula1>"-,SÍ,No"</formula1>
    </dataValidation>
    <dataValidation type="list" allowBlank="1" showInputMessage="1" showErrorMessage="1" sqref="AD19" xr:uid="{AF6078B5-3164-4AB5-A711-A7228D4F9263}">
      <formula1>"Sí,No"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0ED2A-3C88-4786-A89A-808116F95E19}">
  <dimension ref="A1:AI58"/>
  <sheetViews>
    <sheetView showGridLines="0" topLeftCell="A3" zoomScale="25" zoomScaleNormal="25" workbookViewId="0">
      <selection activeCell="Z16" sqref="Z16"/>
    </sheetView>
  </sheetViews>
  <sheetFormatPr defaultColWidth="8.7265625" defaultRowHeight="18.5" x14ac:dyDescent="0.45"/>
  <cols>
    <col min="1" max="3" width="8.7265625" style="115"/>
    <col min="4" max="4" width="22" style="239" customWidth="1"/>
    <col min="5" max="5" width="95.453125" style="115" customWidth="1"/>
    <col min="6" max="6" width="6.7265625" style="115" customWidth="1"/>
    <col min="7" max="7" width="8.7265625" style="115" customWidth="1"/>
    <col min="8" max="8" width="8.7265625" style="115" hidden="1" customWidth="1"/>
    <col min="9" max="9" width="10.81640625" style="115" hidden="1" customWidth="1"/>
    <col min="10" max="10" width="8.7265625" style="115" customWidth="1"/>
    <col min="11" max="12" width="8.7265625" style="115" hidden="1" customWidth="1"/>
    <col min="13" max="13" width="8.7265625" style="115" customWidth="1"/>
    <col min="14" max="15" width="8.7265625" style="115" hidden="1" customWidth="1"/>
    <col min="16" max="16" width="8.7265625" style="115" customWidth="1"/>
    <col min="17" max="18" width="8.7265625" style="115" hidden="1" customWidth="1"/>
    <col min="19" max="19" width="15.54296875" style="115" hidden="1" customWidth="1"/>
    <col min="20" max="20" width="14.453125" style="115" hidden="1" customWidth="1"/>
    <col min="21" max="21" width="23" style="115" hidden="1" customWidth="1"/>
    <col min="22" max="22" width="21" style="115" customWidth="1"/>
    <col min="23" max="23" width="24.26953125" style="115" customWidth="1"/>
    <col min="24" max="24" width="24" style="115" customWidth="1"/>
    <col min="25" max="25" width="28" style="115" customWidth="1"/>
    <col min="26" max="26" width="23.1796875" style="115" bestFit="1" customWidth="1"/>
    <col min="27" max="27" width="18.81640625" style="115" customWidth="1"/>
    <col min="28" max="28" width="94" style="115" customWidth="1"/>
    <col min="29" max="29" width="62.7265625" style="115" customWidth="1"/>
    <col min="30" max="30" width="20.1796875" style="252" customWidth="1"/>
    <col min="31" max="31" width="30.81640625" style="115" customWidth="1"/>
    <col min="32" max="32" width="19.7265625" style="335" customWidth="1"/>
    <col min="33" max="33" width="26.453125" style="115" customWidth="1"/>
    <col min="34" max="16384" width="8.7265625" style="115"/>
  </cols>
  <sheetData>
    <row r="1" spans="3:31" x14ac:dyDescent="0.45">
      <c r="D1" s="513" t="s">
        <v>343</v>
      </c>
      <c r="E1" s="513"/>
      <c r="F1" s="117"/>
      <c r="G1" s="117"/>
      <c r="H1" s="117"/>
    </row>
    <row r="2" spans="3:31" x14ac:dyDescent="0.45">
      <c r="D2" s="115"/>
      <c r="G2" s="122" t="s">
        <v>43</v>
      </c>
      <c r="H2" s="117"/>
      <c r="I2" s="117"/>
    </row>
    <row r="3" spans="3:31" x14ac:dyDescent="0.45">
      <c r="D3" s="123" t="s">
        <v>43</v>
      </c>
      <c r="E3" s="523" t="s">
        <v>425</v>
      </c>
      <c r="F3" s="523"/>
      <c r="G3" s="334" t="s">
        <v>80</v>
      </c>
      <c r="H3" s="117"/>
      <c r="I3" s="117"/>
    </row>
    <row r="4" spans="3:31" x14ac:dyDescent="0.45">
      <c r="D4" s="115"/>
      <c r="G4" s="117"/>
      <c r="H4" s="117"/>
      <c r="I4" s="117"/>
    </row>
    <row r="5" spans="3:31" x14ac:dyDescent="0.45">
      <c r="D5" s="513" t="s">
        <v>45</v>
      </c>
      <c r="E5" s="513"/>
      <c r="G5" s="117"/>
      <c r="H5" s="117"/>
      <c r="I5" s="117"/>
    </row>
    <row r="6" spans="3:31" x14ac:dyDescent="0.45">
      <c r="D6" s="116"/>
      <c r="E6" s="116"/>
      <c r="G6" s="117"/>
      <c r="H6" s="117"/>
      <c r="I6" s="117"/>
    </row>
    <row r="7" spans="3:31" x14ac:dyDescent="0.45">
      <c r="D7" s="115"/>
      <c r="G7" s="122" t="s">
        <v>46</v>
      </c>
      <c r="H7" s="117"/>
      <c r="I7" s="117"/>
    </row>
    <row r="8" spans="3:31" ht="92.5" customHeight="1" x14ac:dyDescent="0.45">
      <c r="D8" s="123" t="s">
        <v>46</v>
      </c>
      <c r="E8" s="524" t="s">
        <v>506</v>
      </c>
      <c r="F8" s="524"/>
      <c r="G8" s="334" t="s">
        <v>80</v>
      </c>
      <c r="H8" s="124" t="e">
        <f>VLOOKUP(G8,$B$40:$C$41,2,0)</f>
        <v>#N/A</v>
      </c>
      <c r="I8" s="124">
        <v>3</v>
      </c>
    </row>
    <row r="9" spans="3:31" x14ac:dyDescent="0.45">
      <c r="D9" s="125"/>
      <c r="E9" s="126"/>
      <c r="F9" s="127"/>
      <c r="G9" s="117"/>
      <c r="H9" s="117"/>
    </row>
    <row r="10" spans="3:31" x14ac:dyDescent="0.45">
      <c r="D10" s="514" t="s">
        <v>47</v>
      </c>
      <c r="E10" s="514"/>
      <c r="F10" s="127"/>
      <c r="G10" s="117"/>
      <c r="H10" s="117"/>
    </row>
    <row r="11" spans="3:31" x14ac:dyDescent="0.45">
      <c r="D11" s="125"/>
      <c r="E11" s="126"/>
      <c r="F11" s="127"/>
      <c r="G11" s="117"/>
      <c r="H11" s="117"/>
    </row>
    <row r="12" spans="3:31" ht="37" customHeight="1" x14ac:dyDescent="0.45">
      <c r="D12" s="128" t="s">
        <v>48</v>
      </c>
      <c r="E12" s="524" t="s">
        <v>49</v>
      </c>
      <c r="F12" s="524"/>
      <c r="G12" s="253"/>
      <c r="H12" s="253"/>
      <c r="M12" s="117"/>
    </row>
    <row r="13" spans="3:31" ht="129.5" customHeight="1" x14ac:dyDescent="0.45">
      <c r="D13" s="130" t="s">
        <v>50</v>
      </c>
      <c r="E13" s="524" t="s">
        <v>533</v>
      </c>
      <c r="F13" s="524"/>
      <c r="G13" s="253"/>
      <c r="H13" s="253"/>
    </row>
    <row r="14" spans="3:31" ht="129.5" customHeight="1" x14ac:dyDescent="0.45">
      <c r="D14" s="131" t="s">
        <v>51</v>
      </c>
      <c r="E14" s="524" t="s">
        <v>363</v>
      </c>
      <c r="F14" s="524"/>
      <c r="G14" s="253"/>
      <c r="H14" s="253"/>
    </row>
    <row r="15" spans="3:31" ht="46.5" customHeight="1" x14ac:dyDescent="0.45">
      <c r="D15" s="132" t="s">
        <v>52</v>
      </c>
      <c r="E15" s="524" t="s">
        <v>53</v>
      </c>
      <c r="F15" s="524"/>
      <c r="G15" s="253"/>
      <c r="H15" s="253"/>
    </row>
    <row r="16" spans="3:31" x14ac:dyDescent="0.45">
      <c r="C16" s="117"/>
      <c r="D16" s="133"/>
      <c r="E16" s="117"/>
      <c r="F16" s="117"/>
      <c r="G16" s="117"/>
      <c r="H16" s="117"/>
      <c r="I16" s="117"/>
      <c r="J16" s="117"/>
      <c r="K16" s="117"/>
      <c r="L16" s="117"/>
      <c r="M16" s="117"/>
      <c r="N16" s="117"/>
      <c r="O16" s="117"/>
      <c r="P16" s="117"/>
      <c r="Q16" s="117"/>
      <c r="R16" s="117"/>
      <c r="T16" s="117"/>
      <c r="U16" s="117"/>
      <c r="V16" s="117"/>
      <c r="W16" s="117"/>
      <c r="AA16" s="117"/>
      <c r="AB16" s="117"/>
      <c r="AC16" s="117"/>
      <c r="AD16" s="120"/>
      <c r="AE16" s="117"/>
    </row>
    <row r="17" spans="2:35" ht="19" thickBot="1" x14ac:dyDescent="0.5">
      <c r="C17" s="117"/>
      <c r="D17" s="133"/>
      <c r="E17" s="117"/>
      <c r="F17" s="117"/>
      <c r="G17" s="117"/>
      <c r="H17" s="117"/>
      <c r="I17" s="117"/>
      <c r="J17" s="117"/>
      <c r="K17" s="117"/>
      <c r="L17" s="117"/>
      <c r="M17" s="117"/>
      <c r="N17" s="117"/>
      <c r="O17" s="117"/>
      <c r="P17" s="117"/>
      <c r="Q17" s="117"/>
      <c r="R17" s="117"/>
      <c r="S17" s="117"/>
      <c r="T17" s="117"/>
      <c r="U17" s="117"/>
      <c r="V17" s="117"/>
      <c r="W17" s="117"/>
      <c r="AA17" s="135"/>
      <c r="AB17" s="117"/>
      <c r="AC17" s="117"/>
      <c r="AD17" s="120"/>
      <c r="AE17" s="117"/>
      <c r="AF17" s="223"/>
    </row>
    <row r="18" spans="2:35" ht="56" thickBot="1" x14ac:dyDescent="0.5">
      <c r="C18" s="515" t="s">
        <v>364</v>
      </c>
      <c r="D18" s="517"/>
      <c r="E18" s="515" t="s">
        <v>341</v>
      </c>
      <c r="F18" s="516"/>
      <c r="G18" s="137" t="s">
        <v>48</v>
      </c>
      <c r="H18" s="138"/>
      <c r="I18" s="138"/>
      <c r="J18" s="139" t="s">
        <v>50</v>
      </c>
      <c r="K18" s="138"/>
      <c r="L18" s="138"/>
      <c r="M18" s="136" t="s">
        <v>51</v>
      </c>
      <c r="N18" s="138"/>
      <c r="O18" s="138"/>
      <c r="P18" s="140" t="s">
        <v>52</v>
      </c>
      <c r="Q18" s="141"/>
      <c r="R18" s="142"/>
      <c r="S18" s="336" t="s">
        <v>54</v>
      </c>
      <c r="T18" s="337" t="s">
        <v>55</v>
      </c>
      <c r="U18" s="138" t="s">
        <v>56</v>
      </c>
      <c r="V18" s="138" t="s">
        <v>57</v>
      </c>
      <c r="W18" s="144" t="s">
        <v>58</v>
      </c>
      <c r="X18" s="145" t="s">
        <v>508</v>
      </c>
      <c r="Y18" s="146" t="s">
        <v>546</v>
      </c>
      <c r="Z18" s="146" t="s">
        <v>532</v>
      </c>
      <c r="AA18" s="148" t="s">
        <v>59</v>
      </c>
      <c r="AB18" s="338" t="s">
        <v>17</v>
      </c>
      <c r="AC18" s="599" t="s">
        <v>509</v>
      </c>
      <c r="AD18" s="600"/>
      <c r="AE18" s="338" t="s">
        <v>60</v>
      </c>
      <c r="AF18" s="339" t="s">
        <v>61</v>
      </c>
      <c r="AG18" s="340" t="s">
        <v>62</v>
      </c>
    </row>
    <row r="19" spans="2:35" ht="182.15" customHeight="1" x14ac:dyDescent="0.45">
      <c r="B19" s="605" t="s">
        <v>199</v>
      </c>
      <c r="C19" s="525">
        <v>1</v>
      </c>
      <c r="D19" s="528" t="s">
        <v>82</v>
      </c>
      <c r="E19" s="341" t="s">
        <v>412</v>
      </c>
      <c r="F19" s="155" t="s">
        <v>63</v>
      </c>
      <c r="G19" s="35" t="s">
        <v>80</v>
      </c>
      <c r="H19" s="157" t="e">
        <f t="shared" ref="H19:H29" si="0">VLOOKUP(G19,$B$44:$C$45,2,0)</f>
        <v>#N/A</v>
      </c>
      <c r="I19" s="158">
        <v>2</v>
      </c>
      <c r="J19" s="10" t="s">
        <v>80</v>
      </c>
      <c r="K19" s="157" t="e">
        <f t="shared" ref="K19:K29" si="1">VLOOKUP(J19,$B$48:$C$49,2,0)</f>
        <v>#N/A</v>
      </c>
      <c r="L19" s="158">
        <v>1</v>
      </c>
      <c r="M19" s="10" t="s">
        <v>80</v>
      </c>
      <c r="N19" s="259" t="e">
        <f t="shared" ref="N19:N28" si="2">VLOOKUP(M19,$B$53:$C$54,2,0)</f>
        <v>#N/A</v>
      </c>
      <c r="O19" s="158">
        <v>2</v>
      </c>
      <c r="P19" s="10" t="s">
        <v>80</v>
      </c>
      <c r="Q19" s="157" t="e">
        <f t="shared" ref="Q19:Q28" si="3">VLOOKUP(P19,$B$44:$C$45,2,0)</f>
        <v>#N/A</v>
      </c>
      <c r="R19" s="159">
        <v>2</v>
      </c>
      <c r="S19" s="342" t="str">
        <f t="shared" ref="S19:S31" si="4">IF($G$3="NO","No aplica", IF($G$3="-","-", IF($G$8="-","-",IF(G19="-","-",IF(J19="-","-",IF(M19="-","-",IF(P19="-","-",SUM($H$8,H19,K19,N19,Q19))))))))</f>
        <v>-</v>
      </c>
      <c r="T19" s="343">
        <f t="shared" ref="T19:T31" si="5">SUM($I$8,I19,L19,O19,R19)</f>
        <v>10</v>
      </c>
      <c r="U19" s="18" t="str">
        <f t="shared" ref="U19:U31" si="6">IF(S19="-","Pendiente",IF(S19="No aplica","No aplica",S19/T19))</f>
        <v>Pendiente</v>
      </c>
      <c r="V19" s="11" t="str">
        <f>IF(COUNTIF(U19:U31, "Pendiente") &gt; 0,"Pendiente",IF(U19="No aplica","No aplica",IF(U19&gt;=100%,"Muy Bajo",IF(U19&gt;=80%,"Bajo",IF(U19&gt;=60%,"Medio",IF(U19&gt;=40%,"Alto","Muy Alto"))))))</f>
        <v>Pendiente</v>
      </c>
      <c r="W19" s="160" t="str">
        <f t="shared" ref="W19:W31" si="7">+IF($G$3="No","No aplica",IF(V19="Pendiente","Pendiente",IF(V19="Muy Bajo",5%,IF(V19="Bajo",30%,IF(V19="Medio",50%,IF(V19="Alto",70%,90%))))))</f>
        <v>Pendiente</v>
      </c>
      <c r="X19" s="607">
        <v>2</v>
      </c>
      <c r="Y19" s="12" t="str">
        <f>+W19</f>
        <v>Pendiente</v>
      </c>
      <c r="Z19" s="281">
        <v>2</v>
      </c>
      <c r="AA19" s="601" t="str">
        <f>IF($G$3="No","No aplica",+IF(COUNTIF(Y19:Y22,"Pendiente")&gt;0,"Pendiente",AVERAGE(4*Y19*Z19,4*Y20*1.5,4*Y21*Z21,4*Y22*1.5)))</f>
        <v>Pendiente</v>
      </c>
      <c r="AB19" s="344" t="s">
        <v>280</v>
      </c>
      <c r="AC19" s="345" t="str">
        <f t="shared" ref="AC19:AC31" si="8">IF($G$3="No","No aplica",IF(OR($G$8="-",G19="-",J19="-",M19="-",P19="-"),"Pendiente",IF(OR($G$8="-",G19="-",J19="-",M19="-",P19="-"),"Pendiente",IF(AND(G19="No",J19="Sí",M19="Sí",P19="No"),"En la siguiente columna responda NO","Responda a la pregunta en la siguiente columna ----&gt;"))))</f>
        <v>Pendiente</v>
      </c>
      <c r="AD19" s="389"/>
      <c r="AE19" s="346" t="str">
        <f>+IF(Y19="No aplica","No aplica",+IF(AND(AC19="En la siguiente columna responda NO",AD19="No"),Y19,IF(AND(AC19="En la siguiente columna responda NO",AD19="Sí"),"Responda No en la pregunta anterior",IF(AD19="SÍ",Y19/2,Y19))))</f>
        <v>Pendiente</v>
      </c>
      <c r="AF19" s="575" t="str">
        <f>IF($G$3="No","No aplica",+IF(AA19="Pendiente","Pendiente",IF(COUNTIF(AD19:AD31,"")&gt;0,"Pendiente",AVERAGE(4*Z19*AE19,4*1.5*AE20,4*Z21*AE21,4*1.5*AE22))))</f>
        <v>Pendiente</v>
      </c>
      <c r="AG19" s="332"/>
      <c r="AI19" s="118"/>
    </row>
    <row r="20" spans="2:35" ht="209.15" customHeight="1" x14ac:dyDescent="0.45">
      <c r="B20" s="605"/>
      <c r="C20" s="526"/>
      <c r="D20" s="529"/>
      <c r="E20" s="347" t="s">
        <v>413</v>
      </c>
      <c r="F20" s="167" t="s">
        <v>83</v>
      </c>
      <c r="G20" s="36" t="s">
        <v>80</v>
      </c>
      <c r="H20" s="124" t="e">
        <f t="shared" si="0"/>
        <v>#N/A</v>
      </c>
      <c r="I20" s="169">
        <v>2</v>
      </c>
      <c r="J20" s="9" t="s">
        <v>80</v>
      </c>
      <c r="K20" s="124" t="e">
        <f t="shared" si="1"/>
        <v>#N/A</v>
      </c>
      <c r="L20" s="169">
        <v>1</v>
      </c>
      <c r="M20" s="9" t="s">
        <v>80</v>
      </c>
      <c r="N20" s="264" t="e">
        <f t="shared" si="2"/>
        <v>#N/A</v>
      </c>
      <c r="O20" s="169">
        <v>2</v>
      </c>
      <c r="P20" s="9" t="s">
        <v>80</v>
      </c>
      <c r="Q20" s="124" t="e">
        <f t="shared" si="3"/>
        <v>#N/A</v>
      </c>
      <c r="R20" s="170">
        <v>2</v>
      </c>
      <c r="S20" s="348" t="str">
        <f t="shared" si="4"/>
        <v>-</v>
      </c>
      <c r="T20" s="349">
        <f t="shared" si="5"/>
        <v>10</v>
      </c>
      <c r="U20" s="28" t="str">
        <f t="shared" si="6"/>
        <v>Pendiente</v>
      </c>
      <c r="V20" s="13" t="str">
        <f>IF(COUNTIF(U19:U31, "Pendiente") &gt; 0,"Pendiente",IF(U20="No aplica","No aplica",IF(U20&gt;=100%,"Muy Bajo",IF(U20&gt;=80%,"Bajo",IF(U20&gt;=60%,"Medio",IF(U20&gt;=40%,"Alto","Muy Alto"))))))</f>
        <v>Pendiente</v>
      </c>
      <c r="W20" s="171" t="str">
        <f t="shared" si="7"/>
        <v>Pendiente</v>
      </c>
      <c r="X20" s="608"/>
      <c r="Y20" s="14" t="str">
        <f>+W20</f>
        <v>Pendiente</v>
      </c>
      <c r="Z20" s="172">
        <v>1</v>
      </c>
      <c r="AA20" s="602"/>
      <c r="AB20" s="173" t="s">
        <v>281</v>
      </c>
      <c r="AC20" s="174" t="str">
        <f t="shared" si="8"/>
        <v>Pendiente</v>
      </c>
      <c r="AD20" s="390"/>
      <c r="AE20" s="350" t="str">
        <f t="shared" ref="AE20:AE31" si="9">+IF(Y20="No aplica","No aplica",+IF(AND(AC20="En la siguiente columna responda NO",AD20="No"),Y20,IF(AND(AC20="En la siguiente columna responda NO",AD20="Sí"),"Responda No en la pregunta anterior",IF(AD20="SÍ",Y20/2,Y20))))</f>
        <v>Pendiente</v>
      </c>
      <c r="AF20" s="512"/>
      <c r="AG20" s="241"/>
      <c r="AI20" s="118"/>
    </row>
    <row r="21" spans="2:35" ht="129.5" x14ac:dyDescent="0.45">
      <c r="B21" s="605"/>
      <c r="C21" s="526"/>
      <c r="D21" s="529"/>
      <c r="E21" s="351" t="s">
        <v>414</v>
      </c>
      <c r="F21" s="167" t="s">
        <v>84</v>
      </c>
      <c r="G21" s="36" t="s">
        <v>80</v>
      </c>
      <c r="H21" s="124" t="e">
        <f t="shared" si="0"/>
        <v>#N/A</v>
      </c>
      <c r="I21" s="169">
        <v>2</v>
      </c>
      <c r="J21" s="9" t="s">
        <v>80</v>
      </c>
      <c r="K21" s="124" t="e">
        <f t="shared" si="1"/>
        <v>#N/A</v>
      </c>
      <c r="L21" s="169">
        <v>1</v>
      </c>
      <c r="M21" s="9" t="s">
        <v>80</v>
      </c>
      <c r="N21" s="264" t="e">
        <f t="shared" si="2"/>
        <v>#N/A</v>
      </c>
      <c r="O21" s="169">
        <v>2</v>
      </c>
      <c r="P21" s="9" t="s">
        <v>80</v>
      </c>
      <c r="Q21" s="124" t="e">
        <f t="shared" si="3"/>
        <v>#N/A</v>
      </c>
      <c r="R21" s="170">
        <v>2</v>
      </c>
      <c r="S21" s="352" t="str">
        <f t="shared" si="4"/>
        <v>-</v>
      </c>
      <c r="T21" s="349">
        <f t="shared" si="5"/>
        <v>10</v>
      </c>
      <c r="U21" s="28" t="str">
        <f t="shared" si="6"/>
        <v>Pendiente</v>
      </c>
      <c r="V21" s="13" t="str">
        <f>IF(COUNTIF(U19:U31, "Pendiente") &gt; 0,"Pendiente",IF(U21="No aplica","No aplica",IF(U21&gt;=100%,"Muy Bajo",IF(U21&gt;=80%,"Bajo",IF(U21&gt;=60%,"Medio",IF(U21&gt;=40%,"Alto","Muy Alto"))))))</f>
        <v>Pendiente</v>
      </c>
      <c r="W21" s="171" t="str">
        <f t="shared" si="7"/>
        <v>Pendiente</v>
      </c>
      <c r="X21" s="608"/>
      <c r="Y21" s="14" t="str">
        <f>+W21</f>
        <v>Pendiente</v>
      </c>
      <c r="Z21" s="353">
        <v>2</v>
      </c>
      <c r="AA21" s="602"/>
      <c r="AB21" s="173" t="s">
        <v>282</v>
      </c>
      <c r="AC21" s="174" t="str">
        <f t="shared" si="8"/>
        <v>Pendiente</v>
      </c>
      <c r="AD21" s="390"/>
      <c r="AE21" s="350" t="str">
        <f t="shared" si="9"/>
        <v>Pendiente</v>
      </c>
      <c r="AF21" s="512"/>
      <c r="AG21" s="241"/>
      <c r="AI21" s="118"/>
    </row>
    <row r="22" spans="2:35" ht="154.5" customHeight="1" thickBot="1" x14ac:dyDescent="0.5">
      <c r="B22" s="605"/>
      <c r="C22" s="527"/>
      <c r="D22" s="530"/>
      <c r="E22" s="354" t="s">
        <v>415</v>
      </c>
      <c r="F22" s="178" t="s">
        <v>85</v>
      </c>
      <c r="G22" s="49" t="s">
        <v>80</v>
      </c>
      <c r="H22" s="355" t="e">
        <f t="shared" si="0"/>
        <v>#N/A</v>
      </c>
      <c r="I22" s="356">
        <v>2</v>
      </c>
      <c r="J22" s="50" t="s">
        <v>80</v>
      </c>
      <c r="K22" s="355" t="e">
        <f t="shared" si="1"/>
        <v>#N/A</v>
      </c>
      <c r="L22" s="356">
        <v>1</v>
      </c>
      <c r="M22" s="50" t="s">
        <v>80</v>
      </c>
      <c r="N22" s="357" t="e">
        <f t="shared" si="2"/>
        <v>#N/A</v>
      </c>
      <c r="O22" s="356">
        <v>2</v>
      </c>
      <c r="P22" s="50" t="s">
        <v>80</v>
      </c>
      <c r="Q22" s="355" t="e">
        <f t="shared" si="3"/>
        <v>#N/A</v>
      </c>
      <c r="R22" s="358">
        <v>2</v>
      </c>
      <c r="S22" s="272" t="str">
        <f t="shared" si="4"/>
        <v>-</v>
      </c>
      <c r="T22" s="359">
        <f t="shared" si="5"/>
        <v>10</v>
      </c>
      <c r="U22" s="29" t="str">
        <f t="shared" si="6"/>
        <v>Pendiente</v>
      </c>
      <c r="V22" s="26" t="str">
        <f>IF(COUNTIF(U19:U31, "Pendiente") &gt; 0,"Pendiente",IF(U22="No aplica","No aplica",IF(U22&gt;=100%,"Muy Bajo",IF(U22&gt;=80%,"Bajo",IF(U22&gt;=60%,"Medio",IF(U22&gt;=40%,"Alto","Muy Alto"))))))</f>
        <v>Pendiente</v>
      </c>
      <c r="W22" s="196" t="str">
        <f t="shared" si="7"/>
        <v>Pendiente</v>
      </c>
      <c r="X22" s="609"/>
      <c r="Y22" s="27" t="str">
        <f>+W22</f>
        <v>Pendiente</v>
      </c>
      <c r="Z22" s="184">
        <v>1</v>
      </c>
      <c r="AA22" s="603"/>
      <c r="AB22" s="185" t="s">
        <v>283</v>
      </c>
      <c r="AC22" s="186" t="str">
        <f t="shared" si="8"/>
        <v>Pendiente</v>
      </c>
      <c r="AD22" s="391"/>
      <c r="AE22" s="360" t="str">
        <f t="shared" si="9"/>
        <v>Pendiente</v>
      </c>
      <c r="AF22" s="511"/>
      <c r="AG22" s="242"/>
      <c r="AI22" s="118"/>
    </row>
    <row r="23" spans="2:35" ht="231" customHeight="1" x14ac:dyDescent="0.45">
      <c r="B23" s="605"/>
      <c r="C23" s="525">
        <v>2</v>
      </c>
      <c r="D23" s="528" t="s">
        <v>86</v>
      </c>
      <c r="E23" s="361" t="s">
        <v>416</v>
      </c>
      <c r="F23" s="155" t="s">
        <v>65</v>
      </c>
      <c r="G23" s="35" t="s">
        <v>80</v>
      </c>
      <c r="H23" s="157" t="e">
        <f t="shared" si="0"/>
        <v>#N/A</v>
      </c>
      <c r="I23" s="158">
        <v>2</v>
      </c>
      <c r="J23" s="10" t="s">
        <v>80</v>
      </c>
      <c r="K23" s="157" t="e">
        <f t="shared" si="1"/>
        <v>#N/A</v>
      </c>
      <c r="L23" s="158">
        <v>1</v>
      </c>
      <c r="M23" s="10" t="s">
        <v>80</v>
      </c>
      <c r="N23" s="259" t="e">
        <f t="shared" si="2"/>
        <v>#N/A</v>
      </c>
      <c r="O23" s="158">
        <v>2</v>
      </c>
      <c r="P23" s="10" t="s">
        <v>80</v>
      </c>
      <c r="Q23" s="157" t="e">
        <f t="shared" si="3"/>
        <v>#N/A</v>
      </c>
      <c r="R23" s="159">
        <v>2</v>
      </c>
      <c r="S23" s="188" t="str">
        <f t="shared" si="4"/>
        <v>-</v>
      </c>
      <c r="T23" s="188">
        <f t="shared" si="5"/>
        <v>10</v>
      </c>
      <c r="U23" s="18" t="str">
        <f t="shared" si="6"/>
        <v>Pendiente</v>
      </c>
      <c r="V23" s="11" t="str">
        <f>IF(COUNTIF(U19:U31, "Pendiente") &gt; 0,"Pendiente",IF(U23="No aplica","No aplica",IF(U23&gt;=100%,"Muy Bajo",IF(U23&gt;=80%,"Bajo",IF(U23&gt;=60%,"Medio",IF(U23&gt;=40%,"Alto","Muy Alto"))))))</f>
        <v>Pendiente</v>
      </c>
      <c r="W23" s="160" t="str">
        <f t="shared" si="7"/>
        <v>Pendiente</v>
      </c>
      <c r="X23" s="580">
        <v>2</v>
      </c>
      <c r="Y23" s="12" t="str">
        <f t="shared" ref="Y23:Y25" si="10">+W23</f>
        <v>Pendiente</v>
      </c>
      <c r="Z23" s="222">
        <v>1</v>
      </c>
      <c r="AA23" s="601" t="str">
        <f>IF($G$3="No","No aplica",+IF(COUNTIF(Y23:Y25,"Pendiente")&gt;0,"Pendiente",AVERAGE(4*Y23*1.5,4*Y24*Z24,4*Y25*1.5)))</f>
        <v>Pendiente</v>
      </c>
      <c r="AB23" s="162" t="s">
        <v>284</v>
      </c>
      <c r="AC23" s="163" t="str">
        <f t="shared" si="8"/>
        <v>Pendiente</v>
      </c>
      <c r="AD23" s="392"/>
      <c r="AE23" s="362" t="str">
        <f t="shared" si="9"/>
        <v>Pendiente</v>
      </c>
      <c r="AF23" s="510" t="str">
        <f>IF($G$3="No","No aplica",+IF(AA23="Pendiente","Pendiente",IF(COUNTIF(AD19:AD31,"")&gt;0,"Pendiente",AVERAGE(4*AE23*1.5,4*AE24*Z24,4*AE25*1.5))))</f>
        <v>Pendiente</v>
      </c>
      <c r="AG23" s="240"/>
      <c r="AI23" s="118"/>
    </row>
    <row r="24" spans="2:35" ht="231" customHeight="1" x14ac:dyDescent="0.45">
      <c r="B24" s="605"/>
      <c r="C24" s="526"/>
      <c r="D24" s="529"/>
      <c r="E24" s="363" t="s">
        <v>417</v>
      </c>
      <c r="F24" s="167" t="s">
        <v>66</v>
      </c>
      <c r="G24" s="36" t="s">
        <v>80</v>
      </c>
      <c r="H24" s="124" t="e">
        <f t="shared" si="0"/>
        <v>#N/A</v>
      </c>
      <c r="I24" s="169">
        <v>2</v>
      </c>
      <c r="J24" s="9" t="s">
        <v>80</v>
      </c>
      <c r="K24" s="124" t="e">
        <f t="shared" si="1"/>
        <v>#N/A</v>
      </c>
      <c r="L24" s="169">
        <v>1</v>
      </c>
      <c r="M24" s="9" t="s">
        <v>80</v>
      </c>
      <c r="N24" s="264" t="e">
        <f t="shared" si="2"/>
        <v>#N/A</v>
      </c>
      <c r="O24" s="169">
        <v>2</v>
      </c>
      <c r="P24" s="9" t="s">
        <v>80</v>
      </c>
      <c r="Q24" s="124" t="e">
        <f t="shared" si="3"/>
        <v>#N/A</v>
      </c>
      <c r="R24" s="170">
        <v>2</v>
      </c>
      <c r="S24" s="234" t="str">
        <f t="shared" si="4"/>
        <v>-</v>
      </c>
      <c r="T24" s="225">
        <f t="shared" si="5"/>
        <v>10</v>
      </c>
      <c r="U24" s="28" t="str">
        <f t="shared" si="6"/>
        <v>Pendiente</v>
      </c>
      <c r="V24" s="13" t="str">
        <f>IF(COUNTIF(U19:U31, "Pendiente") &gt; 0,"Pendiente",IF(U24="No aplica","No aplica",IF(U24&gt;=100%,"Muy Bajo",IF(U24&gt;=80%,"Bajo",IF(U24&gt;=60%,"Medio",IF(U24&gt;=40%,"Alto","Muy Alto"))))))</f>
        <v>Pendiente</v>
      </c>
      <c r="W24" s="171" t="str">
        <f t="shared" si="7"/>
        <v>Pendiente</v>
      </c>
      <c r="X24" s="581"/>
      <c r="Y24" s="14" t="str">
        <f t="shared" si="10"/>
        <v>Pendiente</v>
      </c>
      <c r="Z24" s="227">
        <v>3</v>
      </c>
      <c r="AA24" s="602"/>
      <c r="AB24" s="173" t="s">
        <v>285</v>
      </c>
      <c r="AC24" s="174" t="str">
        <f t="shared" si="8"/>
        <v>Pendiente</v>
      </c>
      <c r="AD24" s="390"/>
      <c r="AE24" s="350" t="str">
        <f t="shared" si="9"/>
        <v>Pendiente</v>
      </c>
      <c r="AF24" s="512"/>
      <c r="AG24" s="241"/>
      <c r="AI24" s="118"/>
    </row>
    <row r="25" spans="2:35" ht="315" customHeight="1" thickBot="1" x14ac:dyDescent="0.5">
      <c r="B25" s="605"/>
      <c r="C25" s="590"/>
      <c r="D25" s="606"/>
      <c r="E25" s="364" t="s">
        <v>418</v>
      </c>
      <c r="F25" s="294" t="s">
        <v>67</v>
      </c>
      <c r="G25" s="37" t="s">
        <v>80</v>
      </c>
      <c r="H25" s="180" t="e">
        <f t="shared" si="0"/>
        <v>#N/A</v>
      </c>
      <c r="I25" s="181">
        <v>2</v>
      </c>
      <c r="J25" s="15" t="s">
        <v>80</v>
      </c>
      <c r="K25" s="180" t="e">
        <f t="shared" si="1"/>
        <v>#N/A</v>
      </c>
      <c r="L25" s="181">
        <v>1</v>
      </c>
      <c r="M25" s="15" t="s">
        <v>80</v>
      </c>
      <c r="N25" s="365" t="e">
        <f t="shared" si="2"/>
        <v>#N/A</v>
      </c>
      <c r="O25" s="181">
        <v>2</v>
      </c>
      <c r="P25" s="15" t="s">
        <v>80</v>
      </c>
      <c r="Q25" s="180" t="e">
        <f t="shared" si="3"/>
        <v>#N/A</v>
      </c>
      <c r="R25" s="182">
        <v>2</v>
      </c>
      <c r="S25" s="234" t="str">
        <f t="shared" si="4"/>
        <v>-</v>
      </c>
      <c r="T25" s="234">
        <f t="shared" si="5"/>
        <v>10</v>
      </c>
      <c r="U25" s="55" t="str">
        <f t="shared" si="6"/>
        <v>Pendiente</v>
      </c>
      <c r="V25" s="16" t="str">
        <f>IF(COUNTIF(U19:U31, "Pendiente") &gt; 0,"Pendiente",IF(U25="No aplica","No aplica",IF(U25&gt;=100%,"Muy Bajo",IF(U25&gt;=80%,"Bajo",IF(U25&gt;=60%,"Medio",IF(U25&gt;=40%,"Alto","Muy Alto"))))))</f>
        <v>Pendiente</v>
      </c>
      <c r="W25" s="183" t="str">
        <f t="shared" si="7"/>
        <v>Pendiente</v>
      </c>
      <c r="X25" s="610"/>
      <c r="Y25" s="17" t="str">
        <f t="shared" si="10"/>
        <v>Pendiente</v>
      </c>
      <c r="Z25" s="235">
        <v>1</v>
      </c>
      <c r="AA25" s="604"/>
      <c r="AB25" s="236" t="s">
        <v>286</v>
      </c>
      <c r="AC25" s="237" t="str">
        <f t="shared" si="8"/>
        <v>Pendiente</v>
      </c>
      <c r="AD25" s="393"/>
      <c r="AE25" s="366" t="str">
        <f t="shared" si="9"/>
        <v>Pendiente</v>
      </c>
      <c r="AF25" s="576"/>
      <c r="AG25" s="333"/>
      <c r="AI25" s="118"/>
    </row>
    <row r="26" spans="2:35" ht="148.5" customHeight="1" x14ac:dyDescent="0.45">
      <c r="B26" s="605"/>
      <c r="C26" s="525">
        <v>3</v>
      </c>
      <c r="D26" s="528" t="s">
        <v>541</v>
      </c>
      <c r="E26" s="367" t="s">
        <v>419</v>
      </c>
      <c r="F26" s="155" t="s">
        <v>68</v>
      </c>
      <c r="G26" s="35" t="s">
        <v>80</v>
      </c>
      <c r="H26" s="157" t="e">
        <f t="shared" si="0"/>
        <v>#N/A</v>
      </c>
      <c r="I26" s="158">
        <v>2</v>
      </c>
      <c r="J26" s="10" t="s">
        <v>80</v>
      </c>
      <c r="K26" s="157" t="e">
        <f t="shared" si="1"/>
        <v>#N/A</v>
      </c>
      <c r="L26" s="158">
        <v>1</v>
      </c>
      <c r="M26" s="10" t="s">
        <v>80</v>
      </c>
      <c r="N26" s="259" t="e">
        <f t="shared" si="2"/>
        <v>#N/A</v>
      </c>
      <c r="O26" s="158">
        <v>2</v>
      </c>
      <c r="P26" s="10" t="s">
        <v>80</v>
      </c>
      <c r="Q26" s="157" t="e">
        <f t="shared" si="3"/>
        <v>#N/A</v>
      </c>
      <c r="R26" s="159">
        <v>2</v>
      </c>
      <c r="S26" s="368" t="str">
        <f t="shared" si="4"/>
        <v>-</v>
      </c>
      <c r="T26" s="188">
        <f t="shared" si="5"/>
        <v>10</v>
      </c>
      <c r="U26" s="18" t="str">
        <f t="shared" si="6"/>
        <v>Pendiente</v>
      </c>
      <c r="V26" s="34" t="str">
        <f>IF(COUNTIF(U19:U31, "Pendiente") &gt; 0,"Pendiente",IF(U26="No aplica","No aplica",IF(U26&gt;=100%,"Muy Bajo",IF(U26&gt;=80%,"Bajo",IF(U26&gt;=60%,"Medio",IF(U26&gt;=40%,"Alto","Muy Alto"))))))</f>
        <v>Pendiente</v>
      </c>
      <c r="W26" s="160" t="str">
        <f t="shared" si="7"/>
        <v>Pendiente</v>
      </c>
      <c r="X26" s="597">
        <v>1</v>
      </c>
      <c r="Y26" s="12" t="str">
        <f>+W26</f>
        <v>Pendiente</v>
      </c>
      <c r="Z26" s="369">
        <v>1</v>
      </c>
      <c r="AA26" s="601" t="str">
        <f>IF($G$3="No","No aplica",+IF(COUNTIF(Y26:Y27,"Pendiente")&gt;0,"Pendiente",AVERAGE(3*Y26*1.5,3*Y27*1.5)))</f>
        <v>Pendiente</v>
      </c>
      <c r="AB26" s="162" t="s">
        <v>287</v>
      </c>
      <c r="AC26" s="163" t="str">
        <f t="shared" si="8"/>
        <v>Pendiente</v>
      </c>
      <c r="AD26" s="392"/>
      <c r="AE26" s="362" t="str">
        <f t="shared" si="9"/>
        <v>Pendiente</v>
      </c>
      <c r="AF26" s="510" t="str">
        <f>IF($G$3="No","No aplica",+IF(AA26="Pendiente","Pendiente",IF(COUNTIF(AD19:AD31,"")&gt;0,"Pendiente",AVERAGE(3*1.5*AE26,3*1.5*AE27))))</f>
        <v>Pendiente</v>
      </c>
      <c r="AG26" s="240"/>
      <c r="AI26" s="118"/>
    </row>
    <row r="27" spans="2:35" ht="122.5" customHeight="1" thickBot="1" x14ac:dyDescent="0.5">
      <c r="B27" s="605"/>
      <c r="C27" s="527"/>
      <c r="D27" s="530"/>
      <c r="E27" s="370" t="s">
        <v>420</v>
      </c>
      <c r="F27" s="306" t="s">
        <v>69</v>
      </c>
      <c r="G27" s="40" t="s">
        <v>80</v>
      </c>
      <c r="H27" s="192" t="e">
        <f t="shared" si="0"/>
        <v>#N/A</v>
      </c>
      <c r="I27" s="193">
        <v>2</v>
      </c>
      <c r="J27" s="25" t="s">
        <v>80</v>
      </c>
      <c r="K27" s="192" t="e">
        <f t="shared" si="1"/>
        <v>#N/A</v>
      </c>
      <c r="L27" s="193">
        <v>1</v>
      </c>
      <c r="M27" s="25" t="s">
        <v>80</v>
      </c>
      <c r="N27" s="271" t="e">
        <f t="shared" si="2"/>
        <v>#N/A</v>
      </c>
      <c r="O27" s="193">
        <v>2</v>
      </c>
      <c r="P27" s="25" t="s">
        <v>80</v>
      </c>
      <c r="Q27" s="192" t="e">
        <f t="shared" si="3"/>
        <v>#N/A</v>
      </c>
      <c r="R27" s="194">
        <v>2</v>
      </c>
      <c r="S27" s="195" t="str">
        <f t="shared" si="4"/>
        <v>-</v>
      </c>
      <c r="T27" s="195">
        <f t="shared" si="5"/>
        <v>10</v>
      </c>
      <c r="U27" s="29" t="str">
        <f t="shared" si="6"/>
        <v>Pendiente</v>
      </c>
      <c r="V27" s="26" t="str">
        <f>IF(COUNTIF(U19:U31, "Pendiente") &gt; 0,"Pendiente",IF(U27="No aplica","No aplica",IF(U27&gt;=100%,"Muy Bajo",IF(U27&gt;=80%,"Bajo",IF(U27&gt;=60%,"Medio",IF(U27&gt;=40%,"Alto","Muy Alto"))))))</f>
        <v>Pendiente</v>
      </c>
      <c r="W27" s="196" t="str">
        <f t="shared" si="7"/>
        <v>Pendiente</v>
      </c>
      <c r="X27" s="598"/>
      <c r="Y27" s="27" t="str">
        <f>+W27</f>
        <v>Pendiente</v>
      </c>
      <c r="Z27" s="372">
        <v>1</v>
      </c>
      <c r="AA27" s="603"/>
      <c r="AB27" s="185" t="s">
        <v>288</v>
      </c>
      <c r="AC27" s="186" t="str">
        <f t="shared" si="8"/>
        <v>Pendiente</v>
      </c>
      <c r="AD27" s="391"/>
      <c r="AE27" s="360" t="str">
        <f t="shared" si="9"/>
        <v>Pendiente</v>
      </c>
      <c r="AF27" s="511"/>
      <c r="AG27" s="242"/>
      <c r="AI27" s="118"/>
    </row>
    <row r="28" spans="2:35" ht="204" customHeight="1" thickBot="1" x14ac:dyDescent="0.5">
      <c r="B28" s="605"/>
      <c r="C28" s="373">
        <v>4</v>
      </c>
      <c r="D28" s="374" t="s">
        <v>182</v>
      </c>
      <c r="E28" s="375" t="s">
        <v>421</v>
      </c>
      <c r="F28" s="190" t="s">
        <v>71</v>
      </c>
      <c r="G28" s="44" t="s">
        <v>80</v>
      </c>
      <c r="H28" s="314" t="e">
        <f t="shared" si="0"/>
        <v>#N/A</v>
      </c>
      <c r="I28" s="315">
        <v>2</v>
      </c>
      <c r="J28" s="45" t="s">
        <v>80</v>
      </c>
      <c r="K28" s="314" t="e">
        <f t="shared" si="1"/>
        <v>#N/A</v>
      </c>
      <c r="L28" s="315">
        <v>1</v>
      </c>
      <c r="M28" s="45" t="s">
        <v>80</v>
      </c>
      <c r="N28" s="316" t="e">
        <f t="shared" si="2"/>
        <v>#N/A</v>
      </c>
      <c r="O28" s="315">
        <v>2</v>
      </c>
      <c r="P28" s="45" t="s">
        <v>80</v>
      </c>
      <c r="Q28" s="314" t="e">
        <f t="shared" si="3"/>
        <v>#N/A</v>
      </c>
      <c r="R28" s="317">
        <v>2</v>
      </c>
      <c r="S28" s="376" t="str">
        <f t="shared" si="4"/>
        <v>-</v>
      </c>
      <c r="T28" s="376">
        <f t="shared" si="5"/>
        <v>10</v>
      </c>
      <c r="U28" s="47" t="str">
        <f t="shared" si="6"/>
        <v>Pendiente</v>
      </c>
      <c r="V28" s="46" t="str">
        <f>IF(COUNTIF(U19:U31, "Pendiente") &gt; 0,"Pendiente",IF(U28="No aplica","No aplica",IF(U28&gt;=100%,"Muy Bajo",IF(U28&gt;=80%,"Bajo",IF(U28&gt;=60%,"Medio",IF(U28&gt;=40%,"Alto","Muy Alto"))))))</f>
        <v>Pendiente</v>
      </c>
      <c r="W28" s="377" t="str">
        <f t="shared" si="7"/>
        <v>Pendiente</v>
      </c>
      <c r="X28" s="371">
        <v>1</v>
      </c>
      <c r="Y28" s="48" t="str">
        <f t="shared" ref="Y28" si="11">+W28</f>
        <v>Pendiente</v>
      </c>
      <c r="Z28" s="378">
        <v>1</v>
      </c>
      <c r="AA28" s="379" t="str">
        <f>IF($G$3="No","No aplica",+IF(COUNTIF(Y28,"Pendiente")&gt;0,"Pendiente",3*Y28*1.5))</f>
        <v>Pendiente</v>
      </c>
      <c r="AB28" s="380" t="s">
        <v>289</v>
      </c>
      <c r="AC28" s="381" t="str">
        <f t="shared" si="8"/>
        <v>Pendiente</v>
      </c>
      <c r="AD28" s="394"/>
      <c r="AE28" s="382" t="str">
        <f t="shared" si="9"/>
        <v>Pendiente</v>
      </c>
      <c r="AF28" s="383" t="str">
        <f>IF($G$3="No","No aplica",+IF(AA28="Pendiente","Pendiente",IF(COUNTIF(AD19:AD31,"")&gt;0,"Pendiente",AVERAGE(3*AE28*1.5))))</f>
        <v>Pendiente</v>
      </c>
      <c r="AG28" s="395"/>
      <c r="AI28" s="118"/>
    </row>
    <row r="29" spans="2:35" ht="251.15" customHeight="1" x14ac:dyDescent="0.45">
      <c r="B29" s="605"/>
      <c r="C29" s="525">
        <v>5</v>
      </c>
      <c r="D29" s="528" t="s">
        <v>72</v>
      </c>
      <c r="E29" s="361" t="s">
        <v>342</v>
      </c>
      <c r="F29" s="155" t="s">
        <v>73</v>
      </c>
      <c r="G29" s="35" t="s">
        <v>80</v>
      </c>
      <c r="H29" s="157" t="e">
        <f t="shared" si="0"/>
        <v>#N/A</v>
      </c>
      <c r="I29" s="158">
        <v>2</v>
      </c>
      <c r="J29" s="10" t="s">
        <v>80</v>
      </c>
      <c r="K29" s="157" t="e">
        <f t="shared" si="1"/>
        <v>#N/A</v>
      </c>
      <c r="L29" s="384">
        <v>1</v>
      </c>
      <c r="M29" s="10" t="s">
        <v>80</v>
      </c>
      <c r="N29" s="259" t="e">
        <f t="shared" ref="N29:N30" si="12">VLOOKUP(M29,$B$53:$C$54,2,0)</f>
        <v>#N/A</v>
      </c>
      <c r="O29" s="158">
        <v>2</v>
      </c>
      <c r="P29" s="10" t="s">
        <v>80</v>
      </c>
      <c r="Q29" s="157" t="e">
        <f t="shared" ref="Q29:Q30" si="13">VLOOKUP(P29,$B$44:$C$45,2,0)</f>
        <v>#N/A</v>
      </c>
      <c r="R29" s="159">
        <v>2</v>
      </c>
      <c r="S29" s="188" t="str">
        <f t="shared" si="4"/>
        <v>-</v>
      </c>
      <c r="T29" s="188">
        <f t="shared" si="5"/>
        <v>10</v>
      </c>
      <c r="U29" s="18" t="str">
        <f t="shared" si="6"/>
        <v>Pendiente</v>
      </c>
      <c r="V29" s="11" t="str">
        <f>IF(COUNTIF(U19:U31, "Pendiente") &gt; 0,"Pendiente",IF(U29="No aplica","No aplica",IF(U29&gt;=100%,"Muy Bajo",IF(U29&gt;=80%,"Bajo",IF(U29&gt;=60%,"Medio",IF(U29&gt;=40%,"Alto","Muy Alto"))))))</f>
        <v>Pendiente</v>
      </c>
      <c r="W29" s="160" t="str">
        <f t="shared" si="7"/>
        <v>Pendiente</v>
      </c>
      <c r="X29" s="597">
        <v>1</v>
      </c>
      <c r="Y29" s="12" t="str">
        <f>W29</f>
        <v>Pendiente</v>
      </c>
      <c r="Z29" s="385">
        <v>1</v>
      </c>
      <c r="AA29" s="601" t="str">
        <f>IF($G$3="No","No aplica",+IF(COUNTIF(Y29:Y31,"Pendiente")&gt;0,"Pendiente",AVERAGE(3*Y29*1.5,3*Y30*1.5,3*Y31*1.5)))</f>
        <v>Pendiente</v>
      </c>
      <c r="AB29" s="162" t="s">
        <v>290</v>
      </c>
      <c r="AC29" s="163" t="str">
        <f t="shared" si="8"/>
        <v>Pendiente</v>
      </c>
      <c r="AD29" s="392"/>
      <c r="AE29" s="362" t="str">
        <f t="shared" si="9"/>
        <v>Pendiente</v>
      </c>
      <c r="AF29" s="510" t="str">
        <f>IF($G$3="No","No aplica",+IF(AA29="Pendiente","Pendiente",IF(COUNTIF(AD19:AD31,"")&gt;0,"Pendiente",AVERAGE(3*AE29*1.5,3*AE30*1.5,3*AE31*1.5))))</f>
        <v>Pendiente</v>
      </c>
      <c r="AG29" s="240"/>
      <c r="AI29" s="118"/>
    </row>
    <row r="30" spans="2:35" ht="169.5" customHeight="1" x14ac:dyDescent="0.45">
      <c r="B30" s="605"/>
      <c r="C30" s="526"/>
      <c r="D30" s="529"/>
      <c r="E30" s="386" t="s">
        <v>422</v>
      </c>
      <c r="F30" s="167" t="s">
        <v>74</v>
      </c>
      <c r="G30" s="36" t="s">
        <v>80</v>
      </c>
      <c r="H30" s="124" t="e">
        <f t="shared" ref="H30" si="14">VLOOKUP(G30,$B$44:$C$45,2,0)</f>
        <v>#N/A</v>
      </c>
      <c r="I30" s="169">
        <v>2</v>
      </c>
      <c r="J30" s="9" t="s">
        <v>80</v>
      </c>
      <c r="K30" s="124" t="e">
        <f t="shared" ref="K30" si="15">VLOOKUP(J30,$B$48:$C$49,2,0)</f>
        <v>#N/A</v>
      </c>
      <c r="L30" s="181">
        <v>1</v>
      </c>
      <c r="M30" s="9" t="s">
        <v>80</v>
      </c>
      <c r="N30" s="264" t="e">
        <f t="shared" si="12"/>
        <v>#N/A</v>
      </c>
      <c r="O30" s="169">
        <v>2</v>
      </c>
      <c r="P30" s="9" t="s">
        <v>80</v>
      </c>
      <c r="Q30" s="124" t="e">
        <f t="shared" si="13"/>
        <v>#N/A</v>
      </c>
      <c r="R30" s="170">
        <v>2</v>
      </c>
      <c r="S30" s="234" t="str">
        <f t="shared" si="4"/>
        <v>-</v>
      </c>
      <c r="T30" s="225">
        <f t="shared" si="5"/>
        <v>10</v>
      </c>
      <c r="U30" s="28" t="str">
        <f t="shared" si="6"/>
        <v>Pendiente</v>
      </c>
      <c r="V30" s="13" t="str">
        <f>IF(COUNTIF(U19:U31, "Pendiente") &gt; 0,"Pendiente",IF(U30="No aplica","No aplica",IF(U30&gt;=100%,"Muy Bajo",IF(U30&gt;=80%,"Bajo",IF(U30&gt;=60%,"Medio",IF(U30&gt;=40%,"Alto","Muy Alto"))))))</f>
        <v>Pendiente</v>
      </c>
      <c r="W30" s="171" t="str">
        <f t="shared" si="7"/>
        <v>Pendiente</v>
      </c>
      <c r="X30" s="611"/>
      <c r="Y30" s="14" t="str">
        <f>+W30</f>
        <v>Pendiente</v>
      </c>
      <c r="Z30" s="387">
        <v>1</v>
      </c>
      <c r="AA30" s="602"/>
      <c r="AB30" s="173" t="s">
        <v>279</v>
      </c>
      <c r="AC30" s="174" t="str">
        <f t="shared" si="8"/>
        <v>Pendiente</v>
      </c>
      <c r="AD30" s="390"/>
      <c r="AE30" s="350" t="str">
        <f t="shared" si="9"/>
        <v>Pendiente</v>
      </c>
      <c r="AF30" s="512"/>
      <c r="AG30" s="241"/>
      <c r="AI30" s="118"/>
    </row>
    <row r="31" spans="2:35" ht="304.5" customHeight="1" thickBot="1" x14ac:dyDescent="0.5">
      <c r="B31" s="605"/>
      <c r="C31" s="527"/>
      <c r="D31" s="530"/>
      <c r="E31" s="354" t="s">
        <v>423</v>
      </c>
      <c r="F31" s="178" t="s">
        <v>75</v>
      </c>
      <c r="G31" s="40" t="s">
        <v>80</v>
      </c>
      <c r="H31" s="192" t="e">
        <f>VLOOKUP(G31,$B$44:$C$45,2,0)</f>
        <v>#N/A</v>
      </c>
      <c r="I31" s="193">
        <v>2</v>
      </c>
      <c r="J31" s="25" t="s">
        <v>80</v>
      </c>
      <c r="K31" s="192" t="e">
        <f>VLOOKUP(J31,$B$48:$C$49,2,0)</f>
        <v>#N/A</v>
      </c>
      <c r="L31" s="193">
        <v>1</v>
      </c>
      <c r="M31" s="25" t="s">
        <v>80</v>
      </c>
      <c r="N31" s="271" t="e">
        <f>VLOOKUP(M31,$B$53:$C$54,2,0)</f>
        <v>#N/A</v>
      </c>
      <c r="O31" s="193">
        <v>2</v>
      </c>
      <c r="P31" s="25" t="s">
        <v>80</v>
      </c>
      <c r="Q31" s="192" t="e">
        <f>VLOOKUP(P31,$B$44:$C$45,2,0)</f>
        <v>#N/A</v>
      </c>
      <c r="R31" s="194">
        <v>2</v>
      </c>
      <c r="S31" s="195" t="str">
        <f t="shared" si="4"/>
        <v>-</v>
      </c>
      <c r="T31" s="195">
        <f t="shared" si="5"/>
        <v>10</v>
      </c>
      <c r="U31" s="29" t="str">
        <f t="shared" si="6"/>
        <v>Pendiente</v>
      </c>
      <c r="V31" s="26" t="str">
        <f>IF(COUNTIF(U19:U31, "Pendiente") &gt; 0,"Pendiente",IF(U31="No aplica","No aplica",IF(U31&gt;=100%,"Muy Bajo",IF(U31&gt;=80%,"Bajo",IF(U31&gt;=60%,"Medio",IF(U31&gt;=40%,"Alto","Muy Alto"))))))</f>
        <v>Pendiente</v>
      </c>
      <c r="W31" s="196" t="str">
        <f t="shared" si="7"/>
        <v>Pendiente</v>
      </c>
      <c r="X31" s="598"/>
      <c r="Y31" s="27" t="str">
        <f>+W31</f>
        <v>Pendiente</v>
      </c>
      <c r="Z31" s="388">
        <v>1</v>
      </c>
      <c r="AA31" s="603"/>
      <c r="AB31" s="185" t="s">
        <v>291</v>
      </c>
      <c r="AC31" s="186" t="str">
        <f t="shared" si="8"/>
        <v>Pendiente</v>
      </c>
      <c r="AD31" s="391"/>
      <c r="AE31" s="360" t="str">
        <f t="shared" si="9"/>
        <v>Pendiente</v>
      </c>
      <c r="AF31" s="511"/>
      <c r="AG31" s="242"/>
      <c r="AI31" s="118"/>
    </row>
    <row r="32" spans="2:35" hidden="1" x14ac:dyDescent="0.45">
      <c r="F32" s="593"/>
      <c r="G32" s="555"/>
      <c r="H32" s="555"/>
      <c r="I32" s="555"/>
      <c r="J32" s="555"/>
      <c r="K32" s="555"/>
      <c r="L32" s="555"/>
      <c r="M32" s="555"/>
      <c r="N32" s="555"/>
      <c r="O32" s="555"/>
      <c r="P32" s="555"/>
      <c r="Q32" s="555"/>
      <c r="R32" s="555"/>
      <c r="S32" s="555"/>
      <c r="T32" s="555"/>
      <c r="U32" s="555"/>
      <c r="V32" s="555"/>
      <c r="W32" s="555"/>
      <c r="X32" s="555"/>
      <c r="Y32" s="555"/>
      <c r="Z32" s="555"/>
      <c r="AA32" s="555"/>
      <c r="AB32" s="555"/>
      <c r="AC32" s="555"/>
      <c r="AD32" s="555"/>
      <c r="AE32" s="594"/>
      <c r="AF32" s="595" t="str">
        <f>IF($G$3="No","No aplica",IF(COUNTIF(AF19:AF31,"Pendiente")&gt;0,"Pendiente",IF(AND(V24="Muy Alto",AD24="No"),30%+SUM(AF19:AF22,AF26:AF31)*0.9/(25.65-7.2),SUM(AF19:AF31)*0.9/25.65)))</f>
        <v>Pendiente</v>
      </c>
      <c r="AI32" s="118"/>
    </row>
    <row r="33" spans="1:32" ht="19" hidden="1" thickBot="1" x14ac:dyDescent="0.5">
      <c r="F33" s="550"/>
      <c r="G33" s="551"/>
      <c r="H33" s="551"/>
      <c r="I33" s="551"/>
      <c r="J33" s="551"/>
      <c r="K33" s="551"/>
      <c r="L33" s="551"/>
      <c r="M33" s="551"/>
      <c r="N33" s="551"/>
      <c r="O33" s="551"/>
      <c r="P33" s="551"/>
      <c r="Q33" s="551"/>
      <c r="R33" s="551"/>
      <c r="S33" s="551"/>
      <c r="T33" s="551"/>
      <c r="U33" s="551"/>
      <c r="V33" s="551"/>
      <c r="W33" s="551"/>
      <c r="X33" s="551"/>
      <c r="Y33" s="551"/>
      <c r="Z33" s="551"/>
      <c r="AA33" s="551"/>
      <c r="AB33" s="551"/>
      <c r="AC33" s="551"/>
      <c r="AD33" s="551"/>
      <c r="AE33" s="552"/>
      <c r="AF33" s="596"/>
    </row>
    <row r="34" spans="1:32" x14ac:dyDescent="0.45">
      <c r="A34" s="497"/>
      <c r="B34" s="497"/>
      <c r="C34" s="497"/>
      <c r="D34" s="498"/>
      <c r="E34" s="497"/>
      <c r="F34" s="547" t="s">
        <v>411</v>
      </c>
      <c r="G34" s="548"/>
      <c r="H34" s="548"/>
      <c r="I34" s="548"/>
      <c r="J34" s="548"/>
      <c r="K34" s="548"/>
      <c r="L34" s="548"/>
      <c r="M34" s="548"/>
      <c r="N34" s="548"/>
      <c r="O34" s="548"/>
      <c r="P34" s="548"/>
      <c r="Q34" s="548"/>
      <c r="R34" s="548"/>
      <c r="S34" s="548"/>
      <c r="T34" s="548"/>
      <c r="U34" s="548"/>
      <c r="V34" s="548"/>
      <c r="W34" s="548"/>
      <c r="X34" s="548"/>
      <c r="Y34" s="548"/>
      <c r="Z34" s="548"/>
      <c r="AA34" s="548"/>
      <c r="AB34" s="548"/>
      <c r="AC34" s="548"/>
      <c r="AD34" s="548"/>
      <c r="AE34" s="549"/>
      <c r="AF34" s="595" t="str">
        <f>IF($G$3="No","No aplica",IF(COUNTIF(AF19:AF31,"Pendiente")&gt;0,"Pendiente",IF(AF32&gt;=90%,90%,AF32)))</f>
        <v>Pendiente</v>
      </c>
    </row>
    <row r="35" spans="1:32" ht="19" thickBot="1" x14ac:dyDescent="0.5">
      <c r="A35" s="497"/>
      <c r="B35" s="499" t="s">
        <v>80</v>
      </c>
      <c r="C35" s="497"/>
      <c r="D35" s="498"/>
      <c r="E35" s="497"/>
      <c r="F35" s="550"/>
      <c r="G35" s="551"/>
      <c r="H35" s="551"/>
      <c r="I35" s="551"/>
      <c r="J35" s="551"/>
      <c r="K35" s="551"/>
      <c r="L35" s="551"/>
      <c r="M35" s="551"/>
      <c r="N35" s="551"/>
      <c r="O35" s="551"/>
      <c r="P35" s="551"/>
      <c r="Q35" s="551"/>
      <c r="R35" s="551"/>
      <c r="S35" s="551"/>
      <c r="T35" s="551"/>
      <c r="U35" s="551"/>
      <c r="V35" s="551"/>
      <c r="W35" s="551"/>
      <c r="X35" s="551"/>
      <c r="Y35" s="551"/>
      <c r="Z35" s="551"/>
      <c r="AA35" s="551"/>
      <c r="AB35" s="551"/>
      <c r="AC35" s="551"/>
      <c r="AD35" s="551"/>
      <c r="AE35" s="552"/>
      <c r="AF35" s="596"/>
    </row>
    <row r="36" spans="1:32" x14ac:dyDescent="0.45">
      <c r="A36" s="497"/>
      <c r="B36" s="499" t="s">
        <v>44</v>
      </c>
      <c r="C36" s="497"/>
      <c r="D36" s="498"/>
      <c r="E36" s="497"/>
    </row>
    <row r="37" spans="1:32" x14ac:dyDescent="0.45">
      <c r="A37" s="497"/>
      <c r="B37" s="499" t="s">
        <v>64</v>
      </c>
      <c r="C37" s="497"/>
      <c r="D37" s="498"/>
      <c r="E37" s="497"/>
    </row>
    <row r="38" spans="1:32" x14ac:dyDescent="0.45">
      <c r="A38" s="497"/>
      <c r="B38" s="497"/>
      <c r="C38" s="497"/>
      <c r="D38" s="498"/>
      <c r="E38" s="497"/>
    </row>
    <row r="39" spans="1:32" x14ac:dyDescent="0.45">
      <c r="A39" s="497"/>
      <c r="B39" s="499" t="s">
        <v>80</v>
      </c>
      <c r="C39" s="497"/>
      <c r="D39" s="498"/>
      <c r="E39" s="497"/>
    </row>
    <row r="40" spans="1:32" x14ac:dyDescent="0.45">
      <c r="A40" s="497"/>
      <c r="B40" s="499" t="s">
        <v>44</v>
      </c>
      <c r="C40" s="498">
        <v>1</v>
      </c>
      <c r="D40" s="499" t="s">
        <v>46</v>
      </c>
      <c r="E40" s="497"/>
    </row>
    <row r="41" spans="1:32" x14ac:dyDescent="0.45">
      <c r="A41" s="497"/>
      <c r="B41" s="499" t="s">
        <v>64</v>
      </c>
      <c r="C41" s="498">
        <v>3</v>
      </c>
      <c r="D41" s="497"/>
      <c r="E41" s="497"/>
    </row>
    <row r="42" spans="1:32" x14ac:dyDescent="0.45">
      <c r="A42" s="497"/>
      <c r="B42" s="497"/>
      <c r="C42" s="497"/>
      <c r="D42" s="498"/>
      <c r="E42" s="497"/>
    </row>
    <row r="43" spans="1:32" x14ac:dyDescent="0.45">
      <c r="A43" s="497"/>
      <c r="B43" s="499" t="s">
        <v>80</v>
      </c>
      <c r="C43" s="497"/>
      <c r="D43" s="498"/>
      <c r="E43" s="497"/>
    </row>
    <row r="44" spans="1:32" x14ac:dyDescent="0.45">
      <c r="A44" s="497"/>
      <c r="B44" s="499" t="s">
        <v>44</v>
      </c>
      <c r="C44" s="498">
        <v>2</v>
      </c>
      <c r="D44" s="499" t="s">
        <v>81</v>
      </c>
      <c r="E44" s="497"/>
    </row>
    <row r="45" spans="1:32" x14ac:dyDescent="0.45">
      <c r="A45" s="497"/>
      <c r="B45" s="499" t="s">
        <v>64</v>
      </c>
      <c r="C45" s="498">
        <v>0</v>
      </c>
      <c r="D45" s="497"/>
      <c r="E45" s="497"/>
    </row>
    <row r="46" spans="1:32" x14ac:dyDescent="0.45">
      <c r="A46" s="497"/>
      <c r="B46" s="497"/>
      <c r="C46" s="497"/>
      <c r="D46" s="498"/>
      <c r="E46" s="497"/>
    </row>
    <row r="47" spans="1:32" x14ac:dyDescent="0.45">
      <c r="A47" s="497"/>
      <c r="B47" s="499" t="s">
        <v>80</v>
      </c>
      <c r="C47" s="497"/>
      <c r="D47" s="498"/>
      <c r="E47" s="497"/>
    </row>
    <row r="48" spans="1:32" x14ac:dyDescent="0.45">
      <c r="A48" s="497"/>
      <c r="B48" s="499" t="s">
        <v>44</v>
      </c>
      <c r="C48" s="498">
        <v>0</v>
      </c>
      <c r="D48" s="499" t="s">
        <v>50</v>
      </c>
      <c r="E48" s="497"/>
    </row>
    <row r="49" spans="1:5" x14ac:dyDescent="0.45">
      <c r="A49" s="497"/>
      <c r="B49" s="499" t="s">
        <v>64</v>
      </c>
      <c r="C49" s="498">
        <v>1</v>
      </c>
      <c r="D49" s="497"/>
      <c r="E49" s="497"/>
    </row>
    <row r="50" spans="1:5" x14ac:dyDescent="0.45">
      <c r="A50" s="497"/>
      <c r="B50" s="497"/>
      <c r="C50" s="497"/>
      <c r="D50" s="498"/>
      <c r="E50" s="497"/>
    </row>
    <row r="51" spans="1:5" x14ac:dyDescent="0.45">
      <c r="A51" s="497"/>
      <c r="B51" s="497"/>
      <c r="C51" s="497"/>
      <c r="D51" s="498"/>
      <c r="E51" s="497"/>
    </row>
    <row r="52" spans="1:5" x14ac:dyDescent="0.45">
      <c r="A52" s="497"/>
      <c r="B52" s="499" t="s">
        <v>80</v>
      </c>
      <c r="C52" s="497"/>
      <c r="D52" s="498"/>
      <c r="E52" s="497"/>
    </row>
    <row r="53" spans="1:5" x14ac:dyDescent="0.45">
      <c r="A53" s="497"/>
      <c r="B53" s="499" t="s">
        <v>44</v>
      </c>
      <c r="C53" s="498">
        <v>0</v>
      </c>
      <c r="D53" s="499" t="s">
        <v>51</v>
      </c>
      <c r="E53" s="497"/>
    </row>
    <row r="54" spans="1:5" x14ac:dyDescent="0.45">
      <c r="A54" s="497"/>
      <c r="B54" s="499" t="s">
        <v>64</v>
      </c>
      <c r="C54" s="498">
        <v>2</v>
      </c>
      <c r="D54" s="497"/>
      <c r="E54" s="497"/>
    </row>
    <row r="55" spans="1:5" x14ac:dyDescent="0.45">
      <c r="A55" s="497"/>
      <c r="B55" s="497"/>
      <c r="C55" s="497"/>
      <c r="D55" s="498"/>
      <c r="E55" s="497"/>
    </row>
    <row r="56" spans="1:5" x14ac:dyDescent="0.45">
      <c r="A56" s="497"/>
      <c r="B56" s="497"/>
      <c r="C56" s="497"/>
      <c r="D56" s="498"/>
      <c r="E56" s="497"/>
    </row>
    <row r="57" spans="1:5" x14ac:dyDescent="0.45">
      <c r="A57" s="497"/>
      <c r="B57" s="497"/>
      <c r="C57" s="497"/>
      <c r="D57" s="498"/>
      <c r="E57" s="497"/>
    </row>
    <row r="58" spans="1:5" x14ac:dyDescent="0.45">
      <c r="A58" s="497"/>
      <c r="B58" s="497"/>
      <c r="C58" s="497"/>
      <c r="D58" s="498"/>
      <c r="E58" s="497"/>
    </row>
  </sheetData>
  <sheetProtection algorithmName="SHA-512" hashValue="TXOQaA/cVlF/nm5SNj2Gmzn/2M0uSvd/aAv7nd3gGySX3tcHDEVAztWxAKx+FMhu8BQ8VN9QtibZZPk6m71gHQ==" saltValue="1iUPV/q4xMbXS2l2TPIk/g==" spinCount="100000" sheet="1" objects="1" scenarios="1"/>
  <mergeCells count="37">
    <mergeCell ref="AF34:AF35"/>
    <mergeCell ref="F32:AE33"/>
    <mergeCell ref="B19:B31"/>
    <mergeCell ref="C23:C25"/>
    <mergeCell ref="D23:D25"/>
    <mergeCell ref="AA19:AA22"/>
    <mergeCell ref="AF19:AF22"/>
    <mergeCell ref="C26:C27"/>
    <mergeCell ref="D19:D22"/>
    <mergeCell ref="X19:X22"/>
    <mergeCell ref="X23:X25"/>
    <mergeCell ref="C29:C31"/>
    <mergeCell ref="D29:D31"/>
    <mergeCell ref="X29:X31"/>
    <mergeCell ref="AF32:AF33"/>
    <mergeCell ref="AF26:AF27"/>
    <mergeCell ref="D1:E1"/>
    <mergeCell ref="D5:E5"/>
    <mergeCell ref="D10:E10"/>
    <mergeCell ref="F34:AE35"/>
    <mergeCell ref="AA29:AA31"/>
    <mergeCell ref="E18:F18"/>
    <mergeCell ref="D26:D27"/>
    <mergeCell ref="AA26:AA27"/>
    <mergeCell ref="C18:D18"/>
    <mergeCell ref="AA23:AA25"/>
    <mergeCell ref="E15:F15"/>
    <mergeCell ref="E14:F14"/>
    <mergeCell ref="E13:F13"/>
    <mergeCell ref="E12:F12"/>
    <mergeCell ref="E8:F8"/>
    <mergeCell ref="E3:F3"/>
    <mergeCell ref="AF23:AF25"/>
    <mergeCell ref="C19:C22"/>
    <mergeCell ref="X26:X27"/>
    <mergeCell ref="AF29:AF31"/>
    <mergeCell ref="AC18:AD18"/>
  </mergeCells>
  <phoneticPr fontId="4" type="noConversion"/>
  <conditionalFormatting sqref="G3">
    <cfRule type="cellIs" dxfId="183" priority="31" stopIfTrue="1" operator="equal">
      <formula>"-"</formula>
    </cfRule>
  </conditionalFormatting>
  <conditionalFormatting sqref="G8">
    <cfRule type="cellIs" dxfId="182" priority="30" stopIfTrue="1" operator="equal">
      <formula>"-"</formula>
    </cfRule>
  </conditionalFormatting>
  <conditionalFormatting sqref="G19:P31">
    <cfRule type="cellIs" dxfId="181" priority="63" operator="equal">
      <formula>"-"</formula>
    </cfRule>
  </conditionalFormatting>
  <conditionalFormatting sqref="U19:U31">
    <cfRule type="expression" dxfId="180" priority="41">
      <formula>+$U19="pendiente"</formula>
    </cfRule>
  </conditionalFormatting>
  <conditionalFormatting sqref="V19:V31">
    <cfRule type="expression" dxfId="179" priority="76">
      <formula>+$V19="Bajo"</formula>
    </cfRule>
    <cfRule type="expression" dxfId="178" priority="75">
      <formula>+$V19="Medio"</formula>
    </cfRule>
    <cfRule type="expression" dxfId="177" priority="74">
      <formula>+$V19="Alto"</formula>
    </cfRule>
    <cfRule type="expression" dxfId="176" priority="73">
      <formula>+$V19="Muy Alto"</formula>
    </cfRule>
    <cfRule type="expression" dxfId="175" priority="40">
      <formula>+$V19="pendiente"</formula>
    </cfRule>
    <cfRule type="expression" dxfId="174" priority="77">
      <formula>+$V19="Muy Bajo"</formula>
    </cfRule>
  </conditionalFormatting>
  <conditionalFormatting sqref="W19:W31">
    <cfRule type="expression" dxfId="173" priority="39">
      <formula>+$W19="pendiente"</formula>
    </cfRule>
  </conditionalFormatting>
  <conditionalFormatting sqref="Y19:Y31">
    <cfRule type="expression" dxfId="172" priority="38">
      <formula>+$Y19="pendiente"</formula>
    </cfRule>
  </conditionalFormatting>
  <conditionalFormatting sqref="Z29:Z31">
    <cfRule type="cellIs" dxfId="171" priority="1" operator="equal">
      <formula>"En la siguiente columna responda NO"</formula>
    </cfRule>
  </conditionalFormatting>
  <conditionalFormatting sqref="AA19:AA31">
    <cfRule type="expression" dxfId="170" priority="24">
      <formula>+$AA19="pendiente"</formula>
    </cfRule>
  </conditionalFormatting>
  <conditionalFormatting sqref="AC19:AC31">
    <cfRule type="cellIs" dxfId="169" priority="7" operator="equal">
      <formula>"En la siguiente columna responda NO"</formula>
    </cfRule>
  </conditionalFormatting>
  <conditionalFormatting sqref="AD19:AD31">
    <cfRule type="cellIs" dxfId="168" priority="8" operator="equal">
      <formula>"No"</formula>
    </cfRule>
    <cfRule type="cellIs" dxfId="167" priority="9" operator="equal">
      <formula>"Sí"</formula>
    </cfRule>
  </conditionalFormatting>
  <conditionalFormatting sqref="AE19:AE31">
    <cfRule type="cellIs" dxfId="166" priority="36" operator="equal">
      <formula>"pendiente"</formula>
    </cfRule>
  </conditionalFormatting>
  <conditionalFormatting sqref="AF19:AF27 AF29:AF31">
    <cfRule type="colorScale" priority="603">
      <colorScale>
        <cfvo type="min"/>
        <cfvo type="percentile" val="50"/>
        <cfvo type="max"/>
        <color rgb="FFF8696B"/>
        <color rgb="FFFFEB84"/>
        <color rgb="FF63BE7B"/>
      </colorScale>
    </cfRule>
  </conditionalFormatting>
  <conditionalFormatting sqref="AF19:AF31">
    <cfRule type="cellIs" dxfId="165" priority="20" operator="between">
      <formula>1.35</formula>
      <formula>2.699999</formula>
    </cfRule>
    <cfRule type="cellIs" dxfId="164" priority="19" operator="between">
      <formula>0</formula>
      <formula>1.349999</formula>
    </cfRule>
    <cfRule type="expression" dxfId="163" priority="18">
      <formula>+$AF19="pendiente"</formula>
    </cfRule>
    <cfRule type="cellIs" dxfId="162" priority="22" operator="between">
      <formula>5.4</formula>
      <formula>10.8</formula>
    </cfRule>
    <cfRule type="cellIs" dxfId="161" priority="21" operator="between">
      <formula>2.7</formula>
      <formula>5.399999</formula>
    </cfRule>
  </conditionalFormatting>
  <conditionalFormatting sqref="AF28">
    <cfRule type="colorScale" priority="23">
      <colorScale>
        <cfvo type="min"/>
        <cfvo type="percentile" val="50"/>
        <cfvo type="max"/>
        <color rgb="FFF8696B"/>
        <color rgb="FFFFEB84"/>
        <color rgb="FF63BE7B"/>
      </colorScale>
    </cfRule>
  </conditionalFormatting>
  <conditionalFormatting sqref="AF32">
    <cfRule type="cellIs" dxfId="160" priority="17" operator="between">
      <formula>0.5</formula>
      <formula>100</formula>
    </cfRule>
    <cfRule type="cellIs" dxfId="159" priority="16" operator="between">
      <formula>0.25</formula>
      <formula>0.49999</formula>
    </cfRule>
    <cfRule type="cellIs" dxfId="158" priority="15" operator="between">
      <formula>0.1</formula>
      <formula>0.24999</formula>
    </cfRule>
    <cfRule type="cellIs" dxfId="157" priority="14" operator="between">
      <formula>0</formula>
      <formula>0.09999</formula>
    </cfRule>
    <cfRule type="cellIs" dxfId="156" priority="13" operator="equal">
      <formula>"pendiente"</formula>
    </cfRule>
  </conditionalFormatting>
  <conditionalFormatting sqref="AF34">
    <cfRule type="cellIs" dxfId="155" priority="6" operator="between">
      <formula>0.5</formula>
      <formula>100</formula>
    </cfRule>
    <cfRule type="cellIs" dxfId="154" priority="5" operator="between">
      <formula>0.25</formula>
      <formula>0.49999</formula>
    </cfRule>
    <cfRule type="cellIs" dxfId="153" priority="4" operator="between">
      <formula>0.1</formula>
      <formula>0.249999</formula>
    </cfRule>
    <cfRule type="cellIs" dxfId="152" priority="3" operator="between">
      <formula>0</formula>
      <formula>0.099999</formula>
    </cfRule>
    <cfRule type="cellIs" dxfId="151" priority="2" operator="equal">
      <formula>"pendiente"</formula>
    </cfRule>
  </conditionalFormatting>
  <dataValidations count="5">
    <dataValidation type="list" allowBlank="1" showInputMessage="1" showErrorMessage="1" sqref="F9:F11" xr:uid="{8E07780B-38CF-431C-8F25-D0AE0A16C862}">
      <formula1>$C$73:$C$74</formula1>
    </dataValidation>
    <dataValidation type="list" allowBlank="1" showInputMessage="1" showErrorMessage="1" sqref="G3" xr:uid="{B7C0B7C2-3173-4442-96BB-92AFF3D411B5}">
      <formula1>$B$35:$B$37</formula1>
    </dataValidation>
    <dataValidation type="list" allowBlank="1" showInputMessage="1" showErrorMessage="1" sqref="G8" xr:uid="{DD8F977F-D77F-4C36-83E0-654ED940B172}">
      <formula1>$B$39:$B$41</formula1>
    </dataValidation>
    <dataValidation type="list" allowBlank="1" showInputMessage="1" showErrorMessage="1" sqref="P19:P31 J19:J31 M19:M31 G19:G31" xr:uid="{C8BD358B-793F-46CE-88DA-1531232BEB34}">
      <formula1>$B$47:$B$49</formula1>
    </dataValidation>
    <dataValidation type="list" allowBlank="1" showInputMessage="1" showErrorMessage="1" sqref="AD19:AD31" xr:uid="{AA1E33F9-3FD1-440F-BA40-B8EEE882CA2F}">
      <formula1>"Sí,No"</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D3FDB-0485-4CBA-A6D8-9B6FB7C021FA}">
  <dimension ref="A1:AI88"/>
  <sheetViews>
    <sheetView showGridLines="0" topLeftCell="A2" zoomScale="55" zoomScaleNormal="55" workbookViewId="0">
      <selection activeCell="AF21" sqref="AF21"/>
    </sheetView>
  </sheetViews>
  <sheetFormatPr defaultColWidth="8.7265625" defaultRowHeight="18.5" x14ac:dyDescent="0.45"/>
  <cols>
    <col min="1" max="3" width="8.7265625" style="115"/>
    <col min="4" max="4" width="22" style="239" customWidth="1"/>
    <col min="5" max="5" width="95.453125" style="115" customWidth="1"/>
    <col min="6" max="6" width="6.7265625" style="115" customWidth="1"/>
    <col min="7" max="7" width="8.7265625" style="115" customWidth="1"/>
    <col min="8" max="8" width="8.7265625" style="115" hidden="1" customWidth="1"/>
    <col min="9" max="9" width="10.81640625" style="115" hidden="1" customWidth="1"/>
    <col min="10" max="10" width="8.7265625" style="115" customWidth="1"/>
    <col min="11" max="12" width="8.7265625" style="115" hidden="1" customWidth="1"/>
    <col min="13" max="13" width="8.7265625" style="115" customWidth="1"/>
    <col min="14" max="15" width="8.7265625" style="115" hidden="1" customWidth="1"/>
    <col min="16" max="16" width="8.7265625" style="115" customWidth="1"/>
    <col min="17" max="18" width="8.7265625" style="115" hidden="1" customWidth="1"/>
    <col min="19" max="19" width="15.90625" style="115" hidden="1" customWidth="1"/>
    <col min="20" max="20" width="14.453125" style="115" hidden="1" customWidth="1"/>
    <col min="21" max="21" width="23.54296875" style="115" hidden="1" customWidth="1"/>
    <col min="22" max="22" width="22.453125" style="115" customWidth="1"/>
    <col min="23" max="23" width="26.7265625" style="115" customWidth="1"/>
    <col min="24" max="24" width="24.453125" style="115" customWidth="1"/>
    <col min="25" max="25" width="21.1796875" style="115" customWidth="1"/>
    <col min="26" max="26" width="23.1796875" style="115" bestFit="1" customWidth="1"/>
    <col min="27" max="27" width="18.81640625" style="115" customWidth="1"/>
    <col min="28" max="28" width="90.36328125" style="115" customWidth="1"/>
    <col min="29" max="29" width="32.7265625" style="115" customWidth="1"/>
    <col min="30" max="30" width="18.1796875" style="252" customWidth="1"/>
    <col min="31" max="31" width="23.26953125" style="115" customWidth="1"/>
    <col min="32" max="32" width="19.7265625" style="335" customWidth="1"/>
    <col min="33" max="33" width="35.08984375" style="115" customWidth="1"/>
    <col min="34" max="16384" width="8.7265625" style="115"/>
  </cols>
  <sheetData>
    <row r="1" spans="3:31" x14ac:dyDescent="0.45">
      <c r="D1" s="513" t="s">
        <v>343</v>
      </c>
      <c r="E1" s="513"/>
      <c r="F1" s="117"/>
      <c r="G1" s="117"/>
      <c r="H1" s="117"/>
    </row>
    <row r="2" spans="3:31" x14ac:dyDescent="0.45">
      <c r="D2" s="115"/>
      <c r="G2" s="122" t="s">
        <v>43</v>
      </c>
      <c r="H2" s="117"/>
      <c r="I2" s="117"/>
    </row>
    <row r="3" spans="3:31" x14ac:dyDescent="0.45">
      <c r="D3" s="123" t="s">
        <v>43</v>
      </c>
      <c r="E3" s="523" t="s">
        <v>424</v>
      </c>
      <c r="F3" s="523"/>
      <c r="G3" s="334" t="s">
        <v>80</v>
      </c>
      <c r="H3" s="117"/>
      <c r="I3" s="117"/>
    </row>
    <row r="4" spans="3:31" x14ac:dyDescent="0.45">
      <c r="D4" s="115"/>
      <c r="G4" s="117"/>
      <c r="H4" s="117"/>
      <c r="I4" s="117"/>
    </row>
    <row r="5" spans="3:31" x14ac:dyDescent="0.45">
      <c r="D5" s="513" t="s">
        <v>45</v>
      </c>
      <c r="E5" s="513"/>
      <c r="G5" s="117"/>
      <c r="H5" s="117"/>
      <c r="I5" s="117"/>
    </row>
    <row r="6" spans="3:31" x14ac:dyDescent="0.45">
      <c r="D6" s="116"/>
      <c r="E6" s="116"/>
      <c r="G6" s="117"/>
      <c r="H6" s="117"/>
      <c r="I6" s="117"/>
    </row>
    <row r="7" spans="3:31" x14ac:dyDescent="0.45">
      <c r="D7" s="115"/>
      <c r="G7" s="122" t="s">
        <v>46</v>
      </c>
      <c r="H7" s="117"/>
      <c r="I7" s="117"/>
    </row>
    <row r="8" spans="3:31" ht="92.5" customHeight="1" x14ac:dyDescent="0.45">
      <c r="D8" s="123" t="s">
        <v>46</v>
      </c>
      <c r="E8" s="524" t="s">
        <v>506</v>
      </c>
      <c r="F8" s="524"/>
      <c r="G8" s="334" t="s">
        <v>80</v>
      </c>
      <c r="H8" s="124" t="e">
        <f>VLOOKUP(G8,$B$71:$C$72,2,0)</f>
        <v>#N/A</v>
      </c>
      <c r="I8" s="124">
        <v>3</v>
      </c>
    </row>
    <row r="9" spans="3:31" x14ac:dyDescent="0.45">
      <c r="D9" s="125"/>
      <c r="E9" s="126"/>
      <c r="F9" s="127"/>
    </row>
    <row r="10" spans="3:31" x14ac:dyDescent="0.45">
      <c r="D10" s="514" t="s">
        <v>47</v>
      </c>
      <c r="E10" s="514"/>
      <c r="F10" s="127"/>
      <c r="G10" s="117"/>
      <c r="H10" s="117"/>
    </row>
    <row r="11" spans="3:31" x14ac:dyDescent="0.45">
      <c r="D11" s="125"/>
      <c r="E11" s="126"/>
      <c r="F11" s="127"/>
      <c r="G11" s="117"/>
      <c r="H11" s="117"/>
    </row>
    <row r="12" spans="3:31" ht="37" customHeight="1" x14ac:dyDescent="0.45">
      <c r="D12" s="128" t="s">
        <v>48</v>
      </c>
      <c r="E12" s="524" t="s">
        <v>49</v>
      </c>
      <c r="F12" s="524"/>
      <c r="G12" s="253"/>
      <c r="H12" s="253"/>
      <c r="M12" s="117"/>
    </row>
    <row r="13" spans="3:31" ht="129.5" customHeight="1" x14ac:dyDescent="0.45">
      <c r="D13" s="130" t="s">
        <v>50</v>
      </c>
      <c r="E13" s="524" t="s">
        <v>533</v>
      </c>
      <c r="F13" s="524"/>
      <c r="G13" s="253"/>
      <c r="H13" s="253"/>
    </row>
    <row r="14" spans="3:31" ht="129.5" customHeight="1" x14ac:dyDescent="0.45">
      <c r="D14" s="131" t="s">
        <v>51</v>
      </c>
      <c r="E14" s="524" t="s">
        <v>363</v>
      </c>
      <c r="F14" s="524"/>
      <c r="G14" s="253"/>
      <c r="H14" s="253"/>
    </row>
    <row r="15" spans="3:31" ht="37" customHeight="1" x14ac:dyDescent="0.45">
      <c r="D15" s="132" t="s">
        <v>52</v>
      </c>
      <c r="E15" s="524" t="s">
        <v>53</v>
      </c>
      <c r="F15" s="524"/>
      <c r="G15" s="253"/>
      <c r="H15" s="253"/>
    </row>
    <row r="16" spans="3:31" x14ac:dyDescent="0.45">
      <c r="C16" s="117"/>
      <c r="D16" s="133"/>
      <c r="E16" s="117"/>
      <c r="F16" s="117"/>
      <c r="G16" s="117"/>
      <c r="H16" s="117"/>
      <c r="I16" s="117"/>
      <c r="J16" s="117"/>
      <c r="K16" s="117"/>
      <c r="L16" s="117"/>
      <c r="M16" s="117"/>
      <c r="N16" s="117"/>
      <c r="O16" s="117"/>
      <c r="P16" s="117"/>
      <c r="Q16" s="117"/>
      <c r="R16" s="117"/>
      <c r="S16" s="117"/>
      <c r="T16" s="117"/>
      <c r="U16" s="117"/>
      <c r="V16" s="117"/>
      <c r="W16" s="117"/>
      <c r="AA16" s="117"/>
      <c r="AB16" s="117"/>
      <c r="AC16" s="117"/>
      <c r="AD16" s="120"/>
      <c r="AE16" s="117"/>
    </row>
    <row r="17" spans="2:35" ht="19" thickBot="1" x14ac:dyDescent="0.5">
      <c r="C17" s="117"/>
      <c r="D17" s="133"/>
      <c r="E17" s="117"/>
      <c r="F17" s="117"/>
      <c r="G17" s="117"/>
      <c r="H17" s="117"/>
      <c r="I17" s="117"/>
      <c r="J17" s="117"/>
      <c r="K17" s="117"/>
      <c r="L17" s="117"/>
      <c r="M17" s="117"/>
      <c r="N17" s="117"/>
      <c r="O17" s="117"/>
      <c r="P17" s="117"/>
      <c r="Q17" s="117"/>
      <c r="R17" s="117"/>
      <c r="S17" s="117"/>
      <c r="T17" s="117"/>
      <c r="U17" s="117"/>
      <c r="V17" s="117"/>
      <c r="W17" s="117"/>
      <c r="AA17" s="117"/>
      <c r="AB17" s="117"/>
      <c r="AC17" s="117"/>
      <c r="AD17" s="120"/>
      <c r="AE17" s="117"/>
    </row>
    <row r="18" spans="2:35" ht="71.5" customHeight="1" thickBot="1" x14ac:dyDescent="0.5">
      <c r="C18" s="515" t="s">
        <v>364</v>
      </c>
      <c r="D18" s="517"/>
      <c r="E18" s="515" t="s">
        <v>341</v>
      </c>
      <c r="F18" s="516"/>
      <c r="G18" s="137" t="s">
        <v>48</v>
      </c>
      <c r="H18" s="138"/>
      <c r="I18" s="138"/>
      <c r="J18" s="139" t="s">
        <v>50</v>
      </c>
      <c r="K18" s="138"/>
      <c r="L18" s="138"/>
      <c r="M18" s="136" t="s">
        <v>51</v>
      </c>
      <c r="N18" s="138"/>
      <c r="O18" s="138"/>
      <c r="P18" s="140" t="s">
        <v>52</v>
      </c>
      <c r="Q18" s="141"/>
      <c r="R18" s="255"/>
      <c r="S18" s="143" t="s">
        <v>54</v>
      </c>
      <c r="T18" s="138" t="s">
        <v>55</v>
      </c>
      <c r="U18" s="138" t="s">
        <v>56</v>
      </c>
      <c r="V18" s="138" t="s">
        <v>57</v>
      </c>
      <c r="W18" s="144" t="s">
        <v>58</v>
      </c>
      <c r="X18" s="145" t="s">
        <v>508</v>
      </c>
      <c r="Y18" s="146" t="s">
        <v>546</v>
      </c>
      <c r="Z18" s="146" t="s">
        <v>532</v>
      </c>
      <c r="AA18" s="396" t="s">
        <v>59</v>
      </c>
      <c r="AB18" s="397" t="s">
        <v>17</v>
      </c>
      <c r="AC18" s="521" t="s">
        <v>509</v>
      </c>
      <c r="AD18" s="619"/>
      <c r="AE18" s="149" t="s">
        <v>60</v>
      </c>
      <c r="AF18" s="399" t="s">
        <v>61</v>
      </c>
      <c r="AG18" s="152" t="s">
        <v>62</v>
      </c>
    </row>
    <row r="19" spans="2:35" ht="185" x14ac:dyDescent="0.45">
      <c r="B19" s="612" t="s">
        <v>200</v>
      </c>
      <c r="C19" s="525">
        <v>1</v>
      </c>
      <c r="D19" s="528" t="s">
        <v>89</v>
      </c>
      <c r="E19" s="154" t="s">
        <v>429</v>
      </c>
      <c r="F19" s="400" t="s">
        <v>63</v>
      </c>
      <c r="G19" s="35" t="s">
        <v>80</v>
      </c>
      <c r="H19" s="157" t="e">
        <f t="shared" ref="H19:H32" si="0">VLOOKUP(G19,$B$75:$C$76,2,0)</f>
        <v>#N/A</v>
      </c>
      <c r="I19" s="158">
        <v>2</v>
      </c>
      <c r="J19" s="10" t="s">
        <v>80</v>
      </c>
      <c r="K19" s="157" t="e">
        <f t="shared" ref="K19:K32" si="1">VLOOKUP(J19,$B$79:$C$80,2,0)</f>
        <v>#N/A</v>
      </c>
      <c r="L19" s="158">
        <v>1</v>
      </c>
      <c r="M19" s="10" t="s">
        <v>80</v>
      </c>
      <c r="N19" s="259" t="e">
        <f t="shared" ref="N19:N32" si="2">VLOOKUP(M19,$B$84:$C$85,2,0)</f>
        <v>#N/A</v>
      </c>
      <c r="O19" s="158">
        <v>2</v>
      </c>
      <c r="P19" s="10" t="s">
        <v>80</v>
      </c>
      <c r="Q19" s="157" t="e">
        <f t="shared" ref="Q19:Q32" si="3">VLOOKUP(P19,$B$75:$C$76,2,0)</f>
        <v>#N/A</v>
      </c>
      <c r="R19" s="159">
        <v>2</v>
      </c>
      <c r="S19" s="156" t="str">
        <f t="shared" ref="S19:S38" si="4">IF($G$3="NO","No aplica",IF($G$3="-","-",IF($G$8="-","-",IF(G19="-","-",IF(J19="-","-",IF(M19="-","-",IF(P19="-","-",SUM($H$8,H19,K19,N19,Q19))))))))</f>
        <v>-</v>
      </c>
      <c r="T19" s="157">
        <f t="shared" ref="T19:T38" si="5">SUM($I$8,I19,L19,O19,R19)</f>
        <v>10</v>
      </c>
      <c r="U19" s="18" t="str">
        <f t="shared" ref="U19:U38" si="6">IF($G$3="NO","No aplica",IF($G$3="-","Pendiente",IF(S19="-","Pendiente",+S19/T19)))</f>
        <v>Pendiente</v>
      </c>
      <c r="V19" s="11" t="str">
        <f>IF(COUNTIF(U19:U38,"Pendiente")&gt;0,"Pendiente",IF(U19="No aplica","No aplica",IF(U19&gt;=100%,"Muy Bajo",IF(U19&gt;=80%,"Bajo",IF(U19&gt;=60%,"Medio",IF(U19&gt;=40%,"Alto","Muy Alto"))))))</f>
        <v>Pendiente</v>
      </c>
      <c r="W19" s="160" t="str">
        <f t="shared" ref="W19:W38" si="7">+IF($G$3="No","No aplica",IF(V19="Pendiente","Pendiente",IF(V19="Muy Bajo",5%,IF(V19="Bajo",30%,IF(V19="Medio",50%,IF(V19="Alto",70%,90%))))))</f>
        <v>Pendiente</v>
      </c>
      <c r="X19" s="617">
        <v>1</v>
      </c>
      <c r="Y19" s="12" t="str">
        <f>+W19</f>
        <v>Pendiente</v>
      </c>
      <c r="Z19" s="161">
        <v>1</v>
      </c>
      <c r="AA19" s="601" t="str">
        <f>IF($G$3="No","No aplica",+IF(COUNTIF(Y19:Y20,"Pendiente")&gt;0,"Pendiente",AVERAGE(3*Y19*1.5,3*Y20*1.5)))</f>
        <v>Pendiente</v>
      </c>
      <c r="AB19" s="261" t="s">
        <v>265</v>
      </c>
      <c r="AC19" s="163" t="str">
        <f t="shared" ref="AC19:AC38" si="8">IF($G$3="No","No aplica",IF(OR($G$8="-",G19="-",J19="-",M19="-",P19="-"),"Pendiente",IF(AND(G19="No",J19="Sí",M19="Sí",P19="No"),"En la siguiente columna responda NO","Responda a la pregunta en la siguiente columna ----&gt;")))</f>
        <v>Pendiente</v>
      </c>
      <c r="AD19" s="392"/>
      <c r="AE19" s="401" t="str">
        <f>+IF(Y19="No aplica","No aplica",+IF(AND(AC19="En la siguiente columna responda NO",AD19="No"),Y19,IF(AND(AC19="En la siguiente columna responda NO",AD19="Sí"),"Responda No en la pregunta anterior",IF(AD19="SÍ",Y19/2,Y19))))</f>
        <v>Pendiente</v>
      </c>
      <c r="AF19" s="510" t="str">
        <f>IF($G$3="No","No aplica",+IF(AA19="Pendiente","Pendiente",IF(COUNTIF(AD19:AD38,"")&gt;0,"Pendiente",AVERAGE(3*AE19*1.5,3*AE20*1.5))))</f>
        <v>Pendiente</v>
      </c>
      <c r="AG19" s="240"/>
      <c r="AI19" s="118"/>
    </row>
    <row r="20" spans="2:35" ht="201.65" customHeight="1" thickBot="1" x14ac:dyDescent="0.5">
      <c r="B20" s="613"/>
      <c r="C20" s="527"/>
      <c r="D20" s="530"/>
      <c r="E20" s="177" t="s">
        <v>430</v>
      </c>
      <c r="F20" s="402" t="s">
        <v>83</v>
      </c>
      <c r="G20" s="40" t="s">
        <v>80</v>
      </c>
      <c r="H20" s="192" t="e">
        <f t="shared" si="0"/>
        <v>#N/A</v>
      </c>
      <c r="I20" s="193">
        <v>2</v>
      </c>
      <c r="J20" s="25" t="s">
        <v>80</v>
      </c>
      <c r="K20" s="192" t="e">
        <f t="shared" si="1"/>
        <v>#N/A</v>
      </c>
      <c r="L20" s="193">
        <v>1</v>
      </c>
      <c r="M20" s="25" t="s">
        <v>80</v>
      </c>
      <c r="N20" s="271" t="e">
        <f t="shared" si="2"/>
        <v>#N/A</v>
      </c>
      <c r="O20" s="193">
        <v>2</v>
      </c>
      <c r="P20" s="25" t="s">
        <v>80</v>
      </c>
      <c r="Q20" s="192" t="e">
        <f t="shared" si="3"/>
        <v>#N/A</v>
      </c>
      <c r="R20" s="194">
        <v>2</v>
      </c>
      <c r="S20" s="191" t="str">
        <f t="shared" si="4"/>
        <v>-</v>
      </c>
      <c r="T20" s="192">
        <f t="shared" si="5"/>
        <v>10</v>
      </c>
      <c r="U20" s="29" t="str">
        <f t="shared" si="6"/>
        <v>Pendiente</v>
      </c>
      <c r="V20" s="26" t="str">
        <f>IF(COUNTIF(U19:U38,"Pendiente")&gt;0,"Pendiente",IF(U20="No aplica","No aplica",IF(U20&gt;=100%,"Muy Bajo",IF(U20&gt;=80%,"Bajo",IF(U20&gt;=60%,"Medio",IF(U20&gt;=40%,"Alto","Muy Alto"))))))</f>
        <v>Pendiente</v>
      </c>
      <c r="W20" s="196" t="str">
        <f t="shared" si="7"/>
        <v>Pendiente</v>
      </c>
      <c r="X20" s="618"/>
      <c r="Y20" s="27" t="str">
        <f>+W20</f>
        <v>Pendiente</v>
      </c>
      <c r="Z20" s="184">
        <v>1</v>
      </c>
      <c r="AA20" s="603"/>
      <c r="AB20" s="273" t="s">
        <v>266</v>
      </c>
      <c r="AC20" s="186" t="str">
        <f t="shared" si="8"/>
        <v>Pendiente</v>
      </c>
      <c r="AD20" s="391"/>
      <c r="AE20" s="403" t="str">
        <f t="shared" ref="AE20:AE38" si="9">+IF(Y20="No aplica","No aplica",+IF(AND(AC20="En la siguiente columna responda NO",AD20="No"),Y20,IF(AND(AC20="En la siguiente columna responda NO",AD20="Sí"),"Responda No en la pregunta anterior",IF(AD20="SÍ",Y20/2,Y20))))</f>
        <v>Pendiente</v>
      </c>
      <c r="AF20" s="511"/>
      <c r="AG20" s="242"/>
      <c r="AI20" s="118"/>
    </row>
    <row r="21" spans="2:35" ht="148.5" thickBot="1" x14ac:dyDescent="0.5">
      <c r="B21" s="613"/>
      <c r="C21" s="199">
        <v>2</v>
      </c>
      <c r="D21" s="200" t="s">
        <v>90</v>
      </c>
      <c r="E21" s="217" t="s">
        <v>431</v>
      </c>
      <c r="F21" s="404" t="s">
        <v>65</v>
      </c>
      <c r="G21" s="39" t="s">
        <v>80</v>
      </c>
      <c r="H21" s="204" t="e">
        <f t="shared" si="0"/>
        <v>#N/A</v>
      </c>
      <c r="I21" s="205">
        <v>2</v>
      </c>
      <c r="J21" s="21" t="s">
        <v>80</v>
      </c>
      <c r="K21" s="204" t="e">
        <f t="shared" si="1"/>
        <v>#N/A</v>
      </c>
      <c r="L21" s="205">
        <v>1</v>
      </c>
      <c r="M21" s="21" t="s">
        <v>80</v>
      </c>
      <c r="N21" s="405" t="e">
        <f t="shared" si="2"/>
        <v>#N/A</v>
      </c>
      <c r="O21" s="205">
        <v>2</v>
      </c>
      <c r="P21" s="21" t="s">
        <v>80</v>
      </c>
      <c r="Q21" s="204" t="e">
        <f t="shared" si="3"/>
        <v>#N/A</v>
      </c>
      <c r="R21" s="206">
        <v>2</v>
      </c>
      <c r="S21" s="203" t="str">
        <f t="shared" si="4"/>
        <v>-</v>
      </c>
      <c r="T21" s="204">
        <f t="shared" si="5"/>
        <v>10</v>
      </c>
      <c r="U21" s="41" t="str">
        <f t="shared" si="6"/>
        <v>Pendiente</v>
      </c>
      <c r="V21" s="22" t="str">
        <f>IF(COUNTIF(U19:U38,"Pendiente")&gt;0,"Pendiente",IF(U21="No aplica","No aplica",IF(U21&gt;=100%,"Muy Bajo",IF(U21&gt;=80%,"Bajo",IF(U21&gt;=60%,"Medio",IF(U21&gt;=40%,"Alto","Muy Alto"))))))</f>
        <v>Pendiente</v>
      </c>
      <c r="W21" s="208" t="str">
        <f t="shared" si="7"/>
        <v>Pendiente</v>
      </c>
      <c r="X21" s="406">
        <v>2</v>
      </c>
      <c r="Y21" s="23" t="str">
        <f t="shared" ref="Y21:Y25" si="10">+W21</f>
        <v>Pendiente</v>
      </c>
      <c r="Z21" s="220">
        <v>3</v>
      </c>
      <c r="AA21" s="407" t="str">
        <f>IF($G$3="No","No aplica",+IF(COUNTIF(Y21:Y21,"Pendiente")&gt;0,"Pendiente",AVERAGE(4*Y21*Z21)))</f>
        <v>Pendiente</v>
      </c>
      <c r="AB21" s="320" t="s">
        <v>267</v>
      </c>
      <c r="AC21" s="213" t="str">
        <f t="shared" si="8"/>
        <v>Pendiente</v>
      </c>
      <c r="AD21" s="428"/>
      <c r="AE21" s="408" t="str">
        <f t="shared" si="9"/>
        <v>Pendiente</v>
      </c>
      <c r="AF21" s="54" t="str">
        <f>IF($G$3="No","No aplica",IF(AA21="Pendiente","Pendiente",IF(COUNTIF(AD19:AD38,"")&gt;0,"Pendiente",(4*Z21*AE21))))</f>
        <v>Pendiente</v>
      </c>
      <c r="AG21" s="243"/>
      <c r="AI21" s="118"/>
    </row>
    <row r="22" spans="2:35" ht="192.65" customHeight="1" thickBot="1" x14ac:dyDescent="0.5">
      <c r="B22" s="613"/>
      <c r="C22" s="199">
        <v>3</v>
      </c>
      <c r="D22" s="200" t="s">
        <v>91</v>
      </c>
      <c r="E22" s="217" t="s">
        <v>428</v>
      </c>
      <c r="F22" s="409" t="s">
        <v>68</v>
      </c>
      <c r="G22" s="39" t="s">
        <v>80</v>
      </c>
      <c r="H22" s="204" t="e">
        <f t="shared" si="0"/>
        <v>#N/A</v>
      </c>
      <c r="I22" s="205">
        <v>2</v>
      </c>
      <c r="J22" s="21" t="s">
        <v>80</v>
      </c>
      <c r="K22" s="204" t="e">
        <f t="shared" si="1"/>
        <v>#N/A</v>
      </c>
      <c r="L22" s="205">
        <v>1</v>
      </c>
      <c r="M22" s="21" t="s">
        <v>80</v>
      </c>
      <c r="N22" s="405" t="e">
        <f t="shared" si="2"/>
        <v>#N/A</v>
      </c>
      <c r="O22" s="205">
        <v>2</v>
      </c>
      <c r="P22" s="21" t="s">
        <v>80</v>
      </c>
      <c r="Q22" s="204" t="e">
        <f t="shared" si="3"/>
        <v>#N/A</v>
      </c>
      <c r="R22" s="206">
        <v>2</v>
      </c>
      <c r="S22" s="203" t="str">
        <f t="shared" si="4"/>
        <v>-</v>
      </c>
      <c r="T22" s="204">
        <f t="shared" si="5"/>
        <v>10</v>
      </c>
      <c r="U22" s="41" t="str">
        <f t="shared" si="6"/>
        <v>Pendiente</v>
      </c>
      <c r="V22" s="22" t="str">
        <f>IF(COUNTIF(U19:U38,"Pendiente")&gt;0,"Pendiente",IF(U22="No aplica","No aplica",IF(U22&gt;=100%,"Muy Bajo",IF(U22&gt;=80%,"Bajo",IF(U22&gt;=60%,"Medio",IF(U22&gt;=40%,"Alto","Muy Alto"))))))</f>
        <v>Pendiente</v>
      </c>
      <c r="W22" s="208" t="str">
        <f t="shared" si="7"/>
        <v>Pendiente</v>
      </c>
      <c r="X22" s="406">
        <v>2</v>
      </c>
      <c r="Y22" s="23" t="str">
        <f>+W22</f>
        <v>Pendiente</v>
      </c>
      <c r="Z22" s="410">
        <v>3</v>
      </c>
      <c r="AA22" s="407" t="str">
        <f>IF($G$3="No","No aplica",+IF(COUNTIF(Y22,"Pendiente")&gt;0,"Pendiente",4*Y22*Z22))</f>
        <v>Pendiente</v>
      </c>
      <c r="AB22" s="320" t="s">
        <v>92</v>
      </c>
      <c r="AC22" s="213" t="str">
        <f t="shared" si="8"/>
        <v>Pendiente</v>
      </c>
      <c r="AD22" s="428"/>
      <c r="AE22" s="408" t="str">
        <f t="shared" si="9"/>
        <v>Pendiente</v>
      </c>
      <c r="AF22" s="215" t="str">
        <f>IF($G$3="No","No aplica",IF(AA22="Pendiente","Pendiente",IF(COUNTIF(AD19:AD38,"")&gt;0,"Pendiente",4*Z22*AE22)))</f>
        <v>Pendiente</v>
      </c>
      <c r="AG22" s="243"/>
      <c r="AI22" s="118"/>
    </row>
    <row r="23" spans="2:35" ht="204.65" customHeight="1" x14ac:dyDescent="0.45">
      <c r="B23" s="613"/>
      <c r="C23" s="525">
        <v>4</v>
      </c>
      <c r="D23" s="528" t="s">
        <v>93</v>
      </c>
      <c r="E23" s="221" t="s">
        <v>432</v>
      </c>
      <c r="F23" s="400" t="s">
        <v>71</v>
      </c>
      <c r="G23" s="35" t="s">
        <v>80</v>
      </c>
      <c r="H23" s="157" t="e">
        <f t="shared" si="0"/>
        <v>#N/A</v>
      </c>
      <c r="I23" s="158">
        <v>2</v>
      </c>
      <c r="J23" s="10" t="s">
        <v>80</v>
      </c>
      <c r="K23" s="157" t="e">
        <f t="shared" si="1"/>
        <v>#N/A</v>
      </c>
      <c r="L23" s="158">
        <v>1</v>
      </c>
      <c r="M23" s="10" t="s">
        <v>80</v>
      </c>
      <c r="N23" s="259" t="e">
        <f t="shared" si="2"/>
        <v>#N/A</v>
      </c>
      <c r="O23" s="158">
        <v>2</v>
      </c>
      <c r="P23" s="10" t="s">
        <v>80</v>
      </c>
      <c r="Q23" s="157" t="e">
        <f t="shared" si="3"/>
        <v>#N/A</v>
      </c>
      <c r="R23" s="159">
        <v>2</v>
      </c>
      <c r="S23" s="156" t="str">
        <f t="shared" si="4"/>
        <v>-</v>
      </c>
      <c r="T23" s="157">
        <f t="shared" si="5"/>
        <v>10</v>
      </c>
      <c r="U23" s="18" t="str">
        <f t="shared" si="6"/>
        <v>Pendiente</v>
      </c>
      <c r="V23" s="11" t="str">
        <f>IF(COUNTIF(U19:U38,"Pendiente")&gt;0,"Pendiente",IF(U23="No aplica","No aplica",IF(U23&gt;=100%,"Muy Bajo",IF(U23&gt;=80%,"Bajo",IF(U23&gt;=60%,"Medio",IF(U23&gt;=40%,"Alto","Muy Alto"))))))</f>
        <v>Pendiente</v>
      </c>
      <c r="W23" s="160" t="str">
        <f t="shared" si="7"/>
        <v>Pendiente</v>
      </c>
      <c r="X23" s="589">
        <v>1</v>
      </c>
      <c r="Y23" s="12" t="str">
        <f t="shared" si="10"/>
        <v>Pendiente</v>
      </c>
      <c r="Z23" s="222">
        <v>1</v>
      </c>
      <c r="AA23" s="601" t="str">
        <f>IF($G$3="No","No aplica",+IF(COUNTIF(Y23:Y24,"Pendiente")&gt;0,"Pendiente",AVERAGE(3*Y23*1.5,3*Y24*1.5)))</f>
        <v>Pendiente</v>
      </c>
      <c r="AB23" s="261" t="s">
        <v>92</v>
      </c>
      <c r="AC23" s="163" t="str">
        <f t="shared" si="8"/>
        <v>Pendiente</v>
      </c>
      <c r="AD23" s="392"/>
      <c r="AE23" s="401" t="str">
        <f t="shared" si="9"/>
        <v>Pendiente</v>
      </c>
      <c r="AF23" s="510" t="str">
        <f>IF($G$3="No","No aplica",+IF(AA23="Pendiente","Pendiente",IF(COUNTIF(AD19:AD38,"")&gt;0,"Pendiente",AVERAGE(3*1.5*AE23,3*1.5*AE24))))</f>
        <v>Pendiente</v>
      </c>
      <c r="AG23" s="240"/>
      <c r="AI23" s="118"/>
    </row>
    <row r="24" spans="2:35" ht="153.65" customHeight="1" thickBot="1" x14ac:dyDescent="0.5">
      <c r="B24" s="613"/>
      <c r="C24" s="527"/>
      <c r="D24" s="530"/>
      <c r="E24" s="228" t="s">
        <v>433</v>
      </c>
      <c r="F24" s="402" t="s">
        <v>87</v>
      </c>
      <c r="G24" s="40" t="s">
        <v>80</v>
      </c>
      <c r="H24" s="192" t="e">
        <f t="shared" si="0"/>
        <v>#N/A</v>
      </c>
      <c r="I24" s="193">
        <v>2</v>
      </c>
      <c r="J24" s="25" t="s">
        <v>80</v>
      </c>
      <c r="K24" s="192" t="e">
        <f t="shared" si="1"/>
        <v>#N/A</v>
      </c>
      <c r="L24" s="193">
        <v>1</v>
      </c>
      <c r="M24" s="25" t="s">
        <v>80</v>
      </c>
      <c r="N24" s="271" t="e">
        <f t="shared" si="2"/>
        <v>#N/A</v>
      </c>
      <c r="O24" s="193">
        <v>2</v>
      </c>
      <c r="P24" s="25" t="s">
        <v>80</v>
      </c>
      <c r="Q24" s="192" t="e">
        <f t="shared" si="3"/>
        <v>#N/A</v>
      </c>
      <c r="R24" s="194">
        <v>2</v>
      </c>
      <c r="S24" s="191" t="str">
        <f t="shared" si="4"/>
        <v>-</v>
      </c>
      <c r="T24" s="192">
        <f t="shared" si="5"/>
        <v>10</v>
      </c>
      <c r="U24" s="29" t="str">
        <f t="shared" si="6"/>
        <v>Pendiente</v>
      </c>
      <c r="V24" s="26" t="str">
        <f>IF(COUNTIF(U19:U38,"Pendiente")&gt;0,"Pendiente",IF(U24="No aplica","No aplica",IF(U24&gt;=100%,"Muy Bajo",IF(U24&gt;=80%,"Bajo",IF(U24&gt;=60%,"Medio",IF(U24&gt;=40%,"Alto","Muy Alto"))))))</f>
        <v>Pendiente</v>
      </c>
      <c r="W24" s="196" t="str">
        <f t="shared" si="7"/>
        <v>Pendiente</v>
      </c>
      <c r="X24" s="588"/>
      <c r="Y24" s="27" t="str">
        <f t="shared" si="10"/>
        <v>Pendiente</v>
      </c>
      <c r="Z24" s="184">
        <v>1</v>
      </c>
      <c r="AA24" s="603"/>
      <c r="AB24" s="273" t="s">
        <v>268</v>
      </c>
      <c r="AC24" s="186" t="str">
        <f t="shared" si="8"/>
        <v>Pendiente</v>
      </c>
      <c r="AD24" s="391"/>
      <c r="AE24" s="403" t="str">
        <f t="shared" si="9"/>
        <v>Pendiente</v>
      </c>
      <c r="AF24" s="511"/>
      <c r="AG24" s="242"/>
      <c r="AI24" s="118"/>
    </row>
    <row r="25" spans="2:35" ht="185.15" customHeight="1" x14ac:dyDescent="0.45">
      <c r="B25" s="613"/>
      <c r="C25" s="525">
        <v>5</v>
      </c>
      <c r="D25" s="528" t="s">
        <v>94</v>
      </c>
      <c r="E25" s="221" t="s">
        <v>434</v>
      </c>
      <c r="F25" s="400" t="s">
        <v>73</v>
      </c>
      <c r="G25" s="35" t="s">
        <v>80</v>
      </c>
      <c r="H25" s="157" t="e">
        <f t="shared" si="0"/>
        <v>#N/A</v>
      </c>
      <c r="I25" s="158">
        <v>2</v>
      </c>
      <c r="J25" s="10" t="s">
        <v>80</v>
      </c>
      <c r="K25" s="157" t="e">
        <f t="shared" si="1"/>
        <v>#N/A</v>
      </c>
      <c r="L25" s="158">
        <v>1</v>
      </c>
      <c r="M25" s="10" t="s">
        <v>80</v>
      </c>
      <c r="N25" s="259" t="e">
        <f t="shared" si="2"/>
        <v>#N/A</v>
      </c>
      <c r="O25" s="158">
        <v>2</v>
      </c>
      <c r="P25" s="10" t="s">
        <v>80</v>
      </c>
      <c r="Q25" s="157" t="e">
        <f t="shared" si="3"/>
        <v>#N/A</v>
      </c>
      <c r="R25" s="159">
        <v>2</v>
      </c>
      <c r="S25" s="156" t="str">
        <f t="shared" si="4"/>
        <v>-</v>
      </c>
      <c r="T25" s="157">
        <f t="shared" si="5"/>
        <v>10</v>
      </c>
      <c r="U25" s="18" t="str">
        <f t="shared" si="6"/>
        <v>Pendiente</v>
      </c>
      <c r="V25" s="11" t="str">
        <f>IF(COUNTIF(U19:U38,"Pendiente")&gt;0,"Pendiente",IF(U25="No aplica","No aplica",IF(U25&gt;=100%,"Muy Bajo",IF(U25&gt;=80%,"Bajo",IF(U25&gt;=60%,"Medio",IF(U25&gt;=40%,"Alto","Muy Alto"))))))</f>
        <v>Pendiente</v>
      </c>
      <c r="W25" s="160" t="str">
        <f t="shared" si="7"/>
        <v>Pendiente</v>
      </c>
      <c r="X25" s="589">
        <v>1</v>
      </c>
      <c r="Y25" s="12" t="str">
        <f t="shared" si="10"/>
        <v>Pendiente</v>
      </c>
      <c r="Z25" s="222">
        <v>1</v>
      </c>
      <c r="AA25" s="601" t="str">
        <f>IF($G$3="No","No aplica",+IF(COUNTIF(Y25:Y26,"Pendiente")&gt;0,"Pendiente",AVERAGE(3*Y25*1.5,3*Y26*1.5)))</f>
        <v>Pendiente</v>
      </c>
      <c r="AB25" s="261" t="s">
        <v>269</v>
      </c>
      <c r="AC25" s="163" t="str">
        <f t="shared" si="8"/>
        <v>Pendiente</v>
      </c>
      <c r="AD25" s="392"/>
      <c r="AE25" s="401" t="str">
        <f t="shared" si="9"/>
        <v>Pendiente</v>
      </c>
      <c r="AF25" s="577" t="str">
        <f>IF($G$3="No","No aplica",+IF(AA25="Pendiente","Pendiente",IF(COUNTIF(AD19:AD38,"")&gt;0,"Pendiente",AVERAGE(3*1.5*AE25,3*1.5*AE26))))</f>
        <v>Pendiente</v>
      </c>
      <c r="AG25" s="240"/>
      <c r="AI25" s="118"/>
    </row>
    <row r="26" spans="2:35" ht="213.65" customHeight="1" thickBot="1" x14ac:dyDescent="0.5">
      <c r="B26" s="613"/>
      <c r="C26" s="527"/>
      <c r="D26" s="530"/>
      <c r="E26" s="228" t="s">
        <v>435</v>
      </c>
      <c r="F26" s="402" t="s">
        <v>74</v>
      </c>
      <c r="G26" s="40" t="s">
        <v>80</v>
      </c>
      <c r="H26" s="192" t="e">
        <f t="shared" si="0"/>
        <v>#N/A</v>
      </c>
      <c r="I26" s="193">
        <v>2</v>
      </c>
      <c r="J26" s="25" t="s">
        <v>80</v>
      </c>
      <c r="K26" s="192" t="e">
        <f t="shared" si="1"/>
        <v>#N/A</v>
      </c>
      <c r="L26" s="193">
        <v>1</v>
      </c>
      <c r="M26" s="25" t="s">
        <v>80</v>
      </c>
      <c r="N26" s="271" t="e">
        <f t="shared" si="2"/>
        <v>#N/A</v>
      </c>
      <c r="O26" s="193">
        <v>2</v>
      </c>
      <c r="P26" s="25" t="s">
        <v>80</v>
      </c>
      <c r="Q26" s="192" t="e">
        <f t="shared" si="3"/>
        <v>#N/A</v>
      </c>
      <c r="R26" s="194">
        <v>2</v>
      </c>
      <c r="S26" s="191" t="str">
        <f t="shared" si="4"/>
        <v>-</v>
      </c>
      <c r="T26" s="192">
        <f t="shared" si="5"/>
        <v>10</v>
      </c>
      <c r="U26" s="29" t="str">
        <f t="shared" si="6"/>
        <v>Pendiente</v>
      </c>
      <c r="V26" s="32" t="str">
        <f>IF(COUNTIF(U19:U38,"Pendiente")&gt;0,"Pendiente",IF(U26="No aplica","No aplica",IF(U26&gt;=100%,"Muy Bajo",IF(U26&gt;=80%,"Bajo",IF(U26&gt;=60%,"Medio",IF(U26&gt;=40%,"Alto","Muy Alto"))))))</f>
        <v>Pendiente</v>
      </c>
      <c r="W26" s="196" t="str">
        <f t="shared" si="7"/>
        <v>Pendiente</v>
      </c>
      <c r="X26" s="588"/>
      <c r="Y26" s="33" t="str">
        <f>+W26</f>
        <v>Pendiente</v>
      </c>
      <c r="Z26" s="184">
        <v>1</v>
      </c>
      <c r="AA26" s="603"/>
      <c r="AB26" s="273" t="s">
        <v>270</v>
      </c>
      <c r="AC26" s="186" t="str">
        <f t="shared" si="8"/>
        <v>Pendiente</v>
      </c>
      <c r="AD26" s="391"/>
      <c r="AE26" s="403" t="str">
        <f t="shared" si="9"/>
        <v>Pendiente</v>
      </c>
      <c r="AF26" s="579"/>
      <c r="AG26" s="242"/>
      <c r="AI26" s="118"/>
    </row>
    <row r="27" spans="2:35" ht="163" customHeight="1" x14ac:dyDescent="0.45">
      <c r="B27" s="613"/>
      <c r="C27" s="566">
        <v>6</v>
      </c>
      <c r="D27" s="615" t="s">
        <v>95</v>
      </c>
      <c r="E27" s="411" t="s">
        <v>436</v>
      </c>
      <c r="F27" s="412" t="s">
        <v>77</v>
      </c>
      <c r="G27" s="38" t="s">
        <v>80</v>
      </c>
      <c r="H27" s="277" t="e">
        <f t="shared" si="0"/>
        <v>#N/A</v>
      </c>
      <c r="I27" s="278">
        <v>2</v>
      </c>
      <c r="J27" s="19" t="s">
        <v>80</v>
      </c>
      <c r="K27" s="277" t="e">
        <f t="shared" si="1"/>
        <v>#N/A</v>
      </c>
      <c r="L27" s="278">
        <v>1</v>
      </c>
      <c r="M27" s="19" t="s">
        <v>80</v>
      </c>
      <c r="N27" s="279" t="e">
        <f t="shared" si="2"/>
        <v>#N/A</v>
      </c>
      <c r="O27" s="278">
        <v>2</v>
      </c>
      <c r="P27" s="19" t="s">
        <v>80</v>
      </c>
      <c r="Q27" s="277" t="e">
        <f t="shared" si="3"/>
        <v>#N/A</v>
      </c>
      <c r="R27" s="280">
        <v>2</v>
      </c>
      <c r="S27" s="276" t="str">
        <f t="shared" si="4"/>
        <v>-</v>
      </c>
      <c r="T27" s="277">
        <f t="shared" si="5"/>
        <v>10</v>
      </c>
      <c r="U27" s="56" t="str">
        <f t="shared" si="6"/>
        <v>Pendiente</v>
      </c>
      <c r="V27" s="20" t="str">
        <f>IF(COUNTIF(U19:U38,"Pendiente")&gt;0,"Pendiente",IF(U27="No aplica","No aplica",IF(U27&gt;=100%,"Muy Bajo",IF(U27&gt;=80%,"Bajo",IF(U27&gt;=60%,"Medio",IF(U27&gt;=40%,"Alto","Muy Alto"))))))</f>
        <v>Pendiente</v>
      </c>
      <c r="W27" s="287" t="str">
        <f t="shared" si="7"/>
        <v>Pendiente</v>
      </c>
      <c r="X27" s="586">
        <v>1</v>
      </c>
      <c r="Y27" s="24" t="str">
        <f t="shared" ref="Y27:Y28" si="11">+W27</f>
        <v>Pendiente</v>
      </c>
      <c r="Z27" s="310">
        <v>1</v>
      </c>
      <c r="AA27" s="616" t="str">
        <f>IF($G$3="No","No aplica",+IF(COUNTIF(Y27:Y28,"Pendiente")&gt;0,"Pendiente",AVERAGE(3*Y27*1.5,3*Y28*1.5)))</f>
        <v>Pendiente</v>
      </c>
      <c r="AB27" s="289" t="s">
        <v>271</v>
      </c>
      <c r="AC27" s="345" t="str">
        <f t="shared" si="8"/>
        <v>Pendiente</v>
      </c>
      <c r="AD27" s="389"/>
      <c r="AE27" s="413" t="str">
        <f t="shared" si="9"/>
        <v>Pendiente</v>
      </c>
      <c r="AF27" s="575" t="str">
        <f>IF($G$3="No","No aplica",+IF(AA27="Pendiente","Pendiente",IF(COUNTIF(AD19:AD38,"")&gt;0,"Pendiente",AVERAGE(3*1.5*AE27,3*1.5*AE28))))</f>
        <v>Pendiente</v>
      </c>
      <c r="AG27" s="332"/>
      <c r="AI27" s="118"/>
    </row>
    <row r="28" spans="2:35" ht="409.5" customHeight="1" thickBot="1" x14ac:dyDescent="0.5">
      <c r="B28" s="613"/>
      <c r="C28" s="590"/>
      <c r="D28" s="606"/>
      <c r="E28" s="414" t="s">
        <v>544</v>
      </c>
      <c r="F28" s="415" t="s">
        <v>96</v>
      </c>
      <c r="G28" s="37" t="s">
        <v>80</v>
      </c>
      <c r="H28" s="180" t="e">
        <f t="shared" si="0"/>
        <v>#N/A</v>
      </c>
      <c r="I28" s="181">
        <v>2</v>
      </c>
      <c r="J28" s="15" t="s">
        <v>80</v>
      </c>
      <c r="K28" s="180" t="e">
        <f t="shared" si="1"/>
        <v>#N/A</v>
      </c>
      <c r="L28" s="181">
        <v>1</v>
      </c>
      <c r="M28" s="15" t="s">
        <v>80</v>
      </c>
      <c r="N28" s="365" t="e">
        <f t="shared" si="2"/>
        <v>#N/A</v>
      </c>
      <c r="O28" s="181">
        <v>2</v>
      </c>
      <c r="P28" s="15" t="s">
        <v>80</v>
      </c>
      <c r="Q28" s="180" t="e">
        <f t="shared" si="3"/>
        <v>#N/A</v>
      </c>
      <c r="R28" s="182">
        <v>2</v>
      </c>
      <c r="S28" s="179" t="str">
        <f t="shared" si="4"/>
        <v>-</v>
      </c>
      <c r="T28" s="180">
        <f t="shared" si="5"/>
        <v>10</v>
      </c>
      <c r="U28" s="55" t="str">
        <f t="shared" si="6"/>
        <v>Pendiente</v>
      </c>
      <c r="V28" s="16" t="str">
        <f>IF(COUNTIF(U19:U38,"Pendiente")&gt;0,"Pendiente",IF(U28="No aplica","No aplica",IF(U28&gt;=100%,"Muy Bajo",IF(U28&gt;=80%,"Bajo",IF(U28&gt;=60%,"Medio",IF(U28&gt;=40%,"Alto","Muy Alto"))))))</f>
        <v>Pendiente</v>
      </c>
      <c r="W28" s="183" t="str">
        <f t="shared" si="7"/>
        <v>Pendiente</v>
      </c>
      <c r="X28" s="620"/>
      <c r="Y28" s="17" t="str">
        <f t="shared" si="11"/>
        <v>Pendiente</v>
      </c>
      <c r="Z28" s="235">
        <v>1</v>
      </c>
      <c r="AA28" s="604"/>
      <c r="AB28" s="299" t="s">
        <v>272</v>
      </c>
      <c r="AC28" s="237" t="str">
        <f t="shared" si="8"/>
        <v>Pendiente</v>
      </c>
      <c r="AD28" s="393"/>
      <c r="AE28" s="416" t="str">
        <f t="shared" si="9"/>
        <v>Pendiente</v>
      </c>
      <c r="AF28" s="576"/>
      <c r="AG28" s="333"/>
      <c r="AI28" s="118"/>
    </row>
    <row r="29" spans="2:35" ht="153" customHeight="1" x14ac:dyDescent="0.45">
      <c r="B29" s="613"/>
      <c r="C29" s="525">
        <v>7</v>
      </c>
      <c r="D29" s="528" t="s">
        <v>97</v>
      </c>
      <c r="E29" s="154" t="s">
        <v>437</v>
      </c>
      <c r="F29" s="400" t="s">
        <v>78</v>
      </c>
      <c r="G29" s="35" t="s">
        <v>80</v>
      </c>
      <c r="H29" s="157" t="e">
        <f t="shared" si="0"/>
        <v>#N/A</v>
      </c>
      <c r="I29" s="158">
        <v>2</v>
      </c>
      <c r="J29" s="10" t="s">
        <v>80</v>
      </c>
      <c r="K29" s="157" t="e">
        <f t="shared" si="1"/>
        <v>#N/A</v>
      </c>
      <c r="L29" s="158">
        <v>1</v>
      </c>
      <c r="M29" s="10" t="s">
        <v>80</v>
      </c>
      <c r="N29" s="259" t="e">
        <f t="shared" si="2"/>
        <v>#N/A</v>
      </c>
      <c r="O29" s="158">
        <v>2</v>
      </c>
      <c r="P29" s="10" t="s">
        <v>80</v>
      </c>
      <c r="Q29" s="157" t="e">
        <f t="shared" si="3"/>
        <v>#N/A</v>
      </c>
      <c r="R29" s="159">
        <v>2</v>
      </c>
      <c r="S29" s="156" t="str">
        <f t="shared" si="4"/>
        <v>-</v>
      </c>
      <c r="T29" s="157">
        <f t="shared" si="5"/>
        <v>10</v>
      </c>
      <c r="U29" s="18" t="str">
        <f t="shared" si="6"/>
        <v>Pendiente</v>
      </c>
      <c r="V29" s="11" t="str">
        <f>IF(COUNTIF(U19:U38,"Pendiente")&gt;0,"Pendiente",IF(U29="No aplica","No aplica",IF(U29&gt;=100%,"Muy Bajo",IF(U29&gt;=80%,"Bajo",IF(U29&gt;=60%,"Medio",IF(U29&gt;=40%,"Alto","Muy Alto"))))))</f>
        <v>Pendiente</v>
      </c>
      <c r="W29" s="160" t="str">
        <f t="shared" si="7"/>
        <v>Pendiente</v>
      </c>
      <c r="X29" s="580">
        <v>2</v>
      </c>
      <c r="Y29" s="12" t="str">
        <f t="shared" ref="Y29:Y35" si="12">+W29</f>
        <v>Pendiente</v>
      </c>
      <c r="Z29" s="161">
        <v>1</v>
      </c>
      <c r="AA29" s="601" t="str">
        <f>IF($G$3="No","No aplica",+IF(COUNTIF(Y29:Y31,"Pendiente")&gt;0,"Pendiente",AVERAGE(4*Y29*1.5,4*Y30*Z30,4*Y31*1.5)))</f>
        <v>Pendiente</v>
      </c>
      <c r="AB29" s="261" t="s">
        <v>446</v>
      </c>
      <c r="AC29" s="163" t="str">
        <f t="shared" si="8"/>
        <v>Pendiente</v>
      </c>
      <c r="AD29" s="392"/>
      <c r="AE29" s="401" t="str">
        <f t="shared" si="9"/>
        <v>Pendiente</v>
      </c>
      <c r="AF29" s="510" t="str">
        <f>IF($G$3="No","No aplica",+IF(AA29="Pendiente","Pendiente",IF(COUNTIF(AD19:AD38,"")&gt;0,"Pendiente",AVERAGE(4*AE29*1.5,4*AE30*Z30,4*AE31*1.5))))</f>
        <v>Pendiente</v>
      </c>
      <c r="AG29" s="240"/>
      <c r="AI29" s="118"/>
    </row>
    <row r="30" spans="2:35" ht="118.5" customHeight="1" x14ac:dyDescent="0.45">
      <c r="B30" s="613"/>
      <c r="C30" s="526"/>
      <c r="D30" s="529"/>
      <c r="E30" s="417" t="s">
        <v>443</v>
      </c>
      <c r="F30" s="418" t="s">
        <v>79</v>
      </c>
      <c r="G30" s="36" t="s">
        <v>80</v>
      </c>
      <c r="H30" s="124" t="e">
        <f t="shared" si="0"/>
        <v>#N/A</v>
      </c>
      <c r="I30" s="169">
        <v>2</v>
      </c>
      <c r="J30" s="9" t="s">
        <v>80</v>
      </c>
      <c r="K30" s="124" t="e">
        <f t="shared" si="1"/>
        <v>#N/A</v>
      </c>
      <c r="L30" s="169">
        <v>1</v>
      </c>
      <c r="M30" s="9" t="s">
        <v>80</v>
      </c>
      <c r="N30" s="264" t="e">
        <f t="shared" si="2"/>
        <v>#N/A</v>
      </c>
      <c r="O30" s="169">
        <v>2</v>
      </c>
      <c r="P30" s="9" t="s">
        <v>80</v>
      </c>
      <c r="Q30" s="124" t="e">
        <f t="shared" si="3"/>
        <v>#N/A</v>
      </c>
      <c r="R30" s="170">
        <v>2</v>
      </c>
      <c r="S30" s="168" t="str">
        <f t="shared" si="4"/>
        <v>-</v>
      </c>
      <c r="T30" s="124">
        <f t="shared" si="5"/>
        <v>10</v>
      </c>
      <c r="U30" s="28" t="str">
        <f t="shared" si="6"/>
        <v>Pendiente</v>
      </c>
      <c r="V30" s="13" t="str">
        <f>IF(COUNTIF(U19:U38,"Pendiente")&gt;0,"Pendiente",IF(U30="No aplica","No aplica",IF(U30&gt;=100%,"Muy Bajo",IF(U30&gt;=80%,"Bajo",IF(U30&gt;=60%,"Medio",IF(U30&gt;=40%,"Alto","Muy Alto"))))))</f>
        <v>Pendiente</v>
      </c>
      <c r="W30" s="171" t="str">
        <f t="shared" si="7"/>
        <v>Pendiente</v>
      </c>
      <c r="X30" s="581"/>
      <c r="Y30" s="14" t="str">
        <f t="shared" si="12"/>
        <v>Pendiente</v>
      </c>
      <c r="Z30" s="305">
        <v>3</v>
      </c>
      <c r="AA30" s="602"/>
      <c r="AB30" s="266" t="s">
        <v>273</v>
      </c>
      <c r="AC30" s="174" t="str">
        <f t="shared" si="8"/>
        <v>Pendiente</v>
      </c>
      <c r="AD30" s="390"/>
      <c r="AE30" s="419" t="str">
        <f t="shared" si="9"/>
        <v>Pendiente</v>
      </c>
      <c r="AF30" s="512"/>
      <c r="AG30" s="241"/>
    </row>
    <row r="31" spans="2:35" ht="138.65" customHeight="1" thickBot="1" x14ac:dyDescent="0.5">
      <c r="B31" s="613"/>
      <c r="C31" s="527"/>
      <c r="D31" s="530"/>
      <c r="E31" s="177" t="s">
        <v>444</v>
      </c>
      <c r="F31" s="402" t="s">
        <v>98</v>
      </c>
      <c r="G31" s="40" t="s">
        <v>80</v>
      </c>
      <c r="H31" s="192" t="e">
        <f t="shared" si="0"/>
        <v>#N/A</v>
      </c>
      <c r="I31" s="193">
        <v>2</v>
      </c>
      <c r="J31" s="25" t="s">
        <v>80</v>
      </c>
      <c r="K31" s="192" t="e">
        <f t="shared" si="1"/>
        <v>#N/A</v>
      </c>
      <c r="L31" s="193">
        <v>1</v>
      </c>
      <c r="M31" s="25" t="s">
        <v>80</v>
      </c>
      <c r="N31" s="271" t="e">
        <f t="shared" si="2"/>
        <v>#N/A</v>
      </c>
      <c r="O31" s="193">
        <v>2</v>
      </c>
      <c r="P31" s="25" t="s">
        <v>80</v>
      </c>
      <c r="Q31" s="192" t="e">
        <f t="shared" si="3"/>
        <v>#N/A</v>
      </c>
      <c r="R31" s="194">
        <v>2</v>
      </c>
      <c r="S31" s="191" t="str">
        <f t="shared" si="4"/>
        <v>-</v>
      </c>
      <c r="T31" s="192">
        <f t="shared" si="5"/>
        <v>10</v>
      </c>
      <c r="U31" s="29" t="str">
        <f t="shared" si="6"/>
        <v>Pendiente</v>
      </c>
      <c r="V31" s="26" t="str">
        <f>IF(COUNTIF(U19:U38,"Pendiente")&gt;0,"Pendiente",IF(U31="No aplica","No aplica",IF(U31&gt;=100%,"Muy Bajo",IF(U31&gt;=80%,"Bajo",IF(U31&gt;=60%,"Medio",IF(U31&gt;=40%,"Alto","Muy Alto"))))))</f>
        <v>Pendiente</v>
      </c>
      <c r="W31" s="196" t="str">
        <f t="shared" si="7"/>
        <v>Pendiente</v>
      </c>
      <c r="X31" s="582"/>
      <c r="Y31" s="27" t="str">
        <f t="shared" si="12"/>
        <v>Pendiente</v>
      </c>
      <c r="Z31" s="184">
        <v>1</v>
      </c>
      <c r="AA31" s="603"/>
      <c r="AB31" s="273" t="s">
        <v>274</v>
      </c>
      <c r="AC31" s="186" t="str">
        <f t="shared" si="8"/>
        <v>Pendiente</v>
      </c>
      <c r="AD31" s="391"/>
      <c r="AE31" s="403" t="str">
        <f t="shared" si="9"/>
        <v>Pendiente</v>
      </c>
      <c r="AF31" s="511"/>
      <c r="AG31" s="242"/>
    </row>
    <row r="32" spans="2:35" ht="162.65" customHeight="1" x14ac:dyDescent="0.45">
      <c r="B32" s="613"/>
      <c r="C32" s="566">
        <v>8</v>
      </c>
      <c r="D32" s="615" t="s">
        <v>99</v>
      </c>
      <c r="E32" s="420" t="s">
        <v>438</v>
      </c>
      <c r="F32" s="412" t="s">
        <v>100</v>
      </c>
      <c r="G32" s="38" t="s">
        <v>80</v>
      </c>
      <c r="H32" s="277" t="e">
        <f t="shared" si="0"/>
        <v>#N/A</v>
      </c>
      <c r="I32" s="278">
        <v>2</v>
      </c>
      <c r="J32" s="19" t="s">
        <v>80</v>
      </c>
      <c r="K32" s="277" t="e">
        <f t="shared" si="1"/>
        <v>#N/A</v>
      </c>
      <c r="L32" s="278">
        <v>1</v>
      </c>
      <c r="M32" s="19" t="s">
        <v>80</v>
      </c>
      <c r="N32" s="279" t="e">
        <f t="shared" si="2"/>
        <v>#N/A</v>
      </c>
      <c r="O32" s="278">
        <v>2</v>
      </c>
      <c r="P32" s="19" t="s">
        <v>80</v>
      </c>
      <c r="Q32" s="277" t="e">
        <f t="shared" si="3"/>
        <v>#N/A</v>
      </c>
      <c r="R32" s="280">
        <v>2</v>
      </c>
      <c r="S32" s="276" t="str">
        <f t="shared" si="4"/>
        <v>-</v>
      </c>
      <c r="T32" s="277">
        <f t="shared" si="5"/>
        <v>10</v>
      </c>
      <c r="U32" s="56" t="str">
        <f t="shared" si="6"/>
        <v>Pendiente</v>
      </c>
      <c r="V32" s="20" t="str">
        <f>IF(COUNTIF(U19:U38,"Pendiente")&gt;0,"Pendiente",IF(U32="No aplica","No aplica",IF(U32&gt;=100%,"Muy Bajo",IF(U32&gt;=80%,"Bajo",IF(U32&gt;=60%,"Medio",IF(U32&gt;=40%,"Alto","Muy Alto"))))))</f>
        <v>Pendiente</v>
      </c>
      <c r="W32" s="287" t="str">
        <f t="shared" si="7"/>
        <v>Pendiente</v>
      </c>
      <c r="X32" s="586">
        <v>1</v>
      </c>
      <c r="Y32" s="24" t="str">
        <f t="shared" si="12"/>
        <v>Pendiente</v>
      </c>
      <c r="Z32" s="421">
        <v>1</v>
      </c>
      <c r="AA32" s="616" t="str">
        <f>IF($G$3="No","No aplica",+IF(COUNTIF(Y32:Y35,"Pendiente")&gt;0,"Pendiente",AVERAGE(3*Y32*1.5,3*Y33*1.5,3*Y34*1.5,3*Y35*1.5)))</f>
        <v>Pendiente</v>
      </c>
      <c r="AB32" s="289" t="s">
        <v>275</v>
      </c>
      <c r="AC32" s="345" t="str">
        <f t="shared" si="8"/>
        <v>Pendiente</v>
      </c>
      <c r="AD32" s="389"/>
      <c r="AE32" s="413" t="str">
        <f t="shared" si="9"/>
        <v>Pendiente</v>
      </c>
      <c r="AF32" s="575" t="str">
        <f>IF($G$3="No","No aplica",+IF(AA32="Pendiente","Pendiente",IF(COUNTIF(AD19:AD38,"")&gt;0,"Pendiente",AVERAGE(3*1.5*AE32,3*1.5*AE33,3*1.5*AE34,3*1.5*AE35))))</f>
        <v>Pendiente</v>
      </c>
      <c r="AG32" s="332"/>
    </row>
    <row r="33" spans="2:33" ht="119.15" customHeight="1" x14ac:dyDescent="0.45">
      <c r="B33" s="613"/>
      <c r="C33" s="526"/>
      <c r="D33" s="529"/>
      <c r="E33" s="166" t="s">
        <v>445</v>
      </c>
      <c r="F33" s="418" t="s">
        <v>101</v>
      </c>
      <c r="G33" s="36" t="s">
        <v>80</v>
      </c>
      <c r="H33" s="124" t="e">
        <f t="shared" ref="H33:H35" si="13">VLOOKUP(G33,$B$75:$C$76,2,0)</f>
        <v>#N/A</v>
      </c>
      <c r="I33" s="169">
        <v>2</v>
      </c>
      <c r="J33" s="9" t="s">
        <v>80</v>
      </c>
      <c r="K33" s="124" t="e">
        <f t="shared" ref="K33:K35" si="14">VLOOKUP(J33,$B$79:$C$80,2,0)</f>
        <v>#N/A</v>
      </c>
      <c r="L33" s="169">
        <v>1</v>
      </c>
      <c r="M33" s="9" t="s">
        <v>80</v>
      </c>
      <c r="N33" s="264" t="e">
        <f t="shared" ref="N33:N35" si="15">VLOOKUP(M33,$B$84:$C$85,2,0)</f>
        <v>#N/A</v>
      </c>
      <c r="O33" s="169">
        <v>2</v>
      </c>
      <c r="P33" s="9" t="s">
        <v>80</v>
      </c>
      <c r="Q33" s="124" t="e">
        <f t="shared" ref="Q33:Q35" si="16">VLOOKUP(P33,$B$75:$C$76,2,0)</f>
        <v>#N/A</v>
      </c>
      <c r="R33" s="170">
        <v>2</v>
      </c>
      <c r="S33" s="168" t="str">
        <f t="shared" si="4"/>
        <v>-</v>
      </c>
      <c r="T33" s="124">
        <f t="shared" si="5"/>
        <v>10</v>
      </c>
      <c r="U33" s="28" t="str">
        <f t="shared" si="6"/>
        <v>Pendiente</v>
      </c>
      <c r="V33" s="13" t="str">
        <f>IF(COUNTIF(U19:U38,"Pendiente")&gt;0,"Pendiente",IF(U33="No aplica","No aplica",IF(U33&gt;=100%,"Muy Bajo",IF(U33&gt;=80%,"Bajo",IF(U33&gt;=60%,"Medio",IF(U33&gt;=40%,"Alto","Muy Alto"))))))</f>
        <v>Pendiente</v>
      </c>
      <c r="W33" s="171" t="str">
        <f t="shared" si="7"/>
        <v>Pendiente</v>
      </c>
      <c r="X33" s="587"/>
      <c r="Y33" s="14" t="str">
        <f t="shared" si="12"/>
        <v>Pendiente</v>
      </c>
      <c r="Z33" s="422">
        <v>1</v>
      </c>
      <c r="AA33" s="602"/>
      <c r="AB33" s="266" t="s">
        <v>276</v>
      </c>
      <c r="AC33" s="174" t="str">
        <f t="shared" si="8"/>
        <v>Pendiente</v>
      </c>
      <c r="AD33" s="390"/>
      <c r="AE33" s="419" t="str">
        <f t="shared" si="9"/>
        <v>Pendiente</v>
      </c>
      <c r="AF33" s="512"/>
      <c r="AG33" s="241"/>
    </row>
    <row r="34" spans="2:33" ht="159.65" customHeight="1" x14ac:dyDescent="0.45">
      <c r="B34" s="613"/>
      <c r="C34" s="526"/>
      <c r="D34" s="529"/>
      <c r="E34" s="166" t="s">
        <v>439</v>
      </c>
      <c r="F34" s="418" t="s">
        <v>102</v>
      </c>
      <c r="G34" s="36" t="s">
        <v>80</v>
      </c>
      <c r="H34" s="124" t="e">
        <f t="shared" si="13"/>
        <v>#N/A</v>
      </c>
      <c r="I34" s="169">
        <v>2</v>
      </c>
      <c r="J34" s="9" t="s">
        <v>80</v>
      </c>
      <c r="K34" s="124" t="e">
        <f t="shared" si="14"/>
        <v>#N/A</v>
      </c>
      <c r="L34" s="169">
        <v>1</v>
      </c>
      <c r="M34" s="9" t="s">
        <v>80</v>
      </c>
      <c r="N34" s="264" t="e">
        <f t="shared" si="15"/>
        <v>#N/A</v>
      </c>
      <c r="O34" s="169">
        <v>2</v>
      </c>
      <c r="P34" s="9" t="s">
        <v>80</v>
      </c>
      <c r="Q34" s="124" t="e">
        <f t="shared" si="16"/>
        <v>#N/A</v>
      </c>
      <c r="R34" s="170">
        <v>2</v>
      </c>
      <c r="S34" s="168" t="str">
        <f t="shared" si="4"/>
        <v>-</v>
      </c>
      <c r="T34" s="124">
        <f t="shared" si="5"/>
        <v>10</v>
      </c>
      <c r="U34" s="28" t="str">
        <f t="shared" si="6"/>
        <v>Pendiente</v>
      </c>
      <c r="V34" s="13" t="str">
        <f>IF(COUNTIF(U19:U38,"Pendiente")&gt;0,"Pendiente",IF(U34="No aplica","No aplica",IF(U34&gt;=100%,"Muy Bajo",IF(U34&gt;=80%,"Bajo",IF(U34&gt;=60%,"Medio",IF(U34&gt;=40%,"Alto","Muy Alto"))))))</f>
        <v>Pendiente</v>
      </c>
      <c r="W34" s="171" t="str">
        <f t="shared" si="7"/>
        <v>Pendiente</v>
      </c>
      <c r="X34" s="587"/>
      <c r="Y34" s="14" t="str">
        <f t="shared" si="12"/>
        <v>Pendiente</v>
      </c>
      <c r="Z34" s="422">
        <v>1</v>
      </c>
      <c r="AA34" s="602"/>
      <c r="AB34" s="266" t="s">
        <v>276</v>
      </c>
      <c r="AC34" s="174" t="str">
        <f t="shared" si="8"/>
        <v>Pendiente</v>
      </c>
      <c r="AD34" s="390"/>
      <c r="AE34" s="419" t="str">
        <f t="shared" si="9"/>
        <v>Pendiente</v>
      </c>
      <c r="AF34" s="512"/>
      <c r="AG34" s="241"/>
    </row>
    <row r="35" spans="2:33" ht="113.15" customHeight="1" thickBot="1" x14ac:dyDescent="0.5">
      <c r="B35" s="613"/>
      <c r="C35" s="590"/>
      <c r="D35" s="606"/>
      <c r="E35" s="423" t="s">
        <v>440</v>
      </c>
      <c r="F35" s="415" t="s">
        <v>103</v>
      </c>
      <c r="G35" s="37" t="s">
        <v>80</v>
      </c>
      <c r="H35" s="180" t="e">
        <f t="shared" si="13"/>
        <v>#N/A</v>
      </c>
      <c r="I35" s="181">
        <v>2</v>
      </c>
      <c r="J35" s="15" t="s">
        <v>80</v>
      </c>
      <c r="K35" s="180" t="e">
        <f t="shared" si="14"/>
        <v>#N/A</v>
      </c>
      <c r="L35" s="181">
        <v>1</v>
      </c>
      <c r="M35" s="15" t="s">
        <v>80</v>
      </c>
      <c r="N35" s="365" t="e">
        <f t="shared" si="15"/>
        <v>#N/A</v>
      </c>
      <c r="O35" s="181">
        <v>2</v>
      </c>
      <c r="P35" s="15" t="s">
        <v>80</v>
      </c>
      <c r="Q35" s="180" t="e">
        <f t="shared" si="16"/>
        <v>#N/A</v>
      </c>
      <c r="R35" s="182">
        <v>2</v>
      </c>
      <c r="S35" s="179" t="str">
        <f t="shared" si="4"/>
        <v>-</v>
      </c>
      <c r="T35" s="180">
        <f t="shared" si="5"/>
        <v>10</v>
      </c>
      <c r="U35" s="55" t="str">
        <f t="shared" si="6"/>
        <v>Pendiente</v>
      </c>
      <c r="V35" s="16" t="str">
        <f>IF(COUNTIF(U19:U38,"Pendiente")&gt;0,"Pendiente",IF(U35="No aplica","No aplica",IF(U35&gt;=100%,"Muy Bajo",IF(U35&gt;=80%,"Bajo",IF(U35&gt;=60%,"Medio",IF(U35&gt;=40%,"Alto","Muy Alto"))))))</f>
        <v>Pendiente</v>
      </c>
      <c r="W35" s="183" t="str">
        <f t="shared" si="7"/>
        <v>Pendiente</v>
      </c>
      <c r="X35" s="620"/>
      <c r="Y35" s="17" t="str">
        <f t="shared" si="12"/>
        <v>Pendiente</v>
      </c>
      <c r="Z35" s="424">
        <v>1</v>
      </c>
      <c r="AA35" s="604"/>
      <c r="AB35" s="299" t="s">
        <v>277</v>
      </c>
      <c r="AC35" s="237" t="str">
        <f t="shared" si="8"/>
        <v>Pendiente</v>
      </c>
      <c r="AD35" s="393"/>
      <c r="AE35" s="416" t="str">
        <f t="shared" si="9"/>
        <v>Pendiente</v>
      </c>
      <c r="AF35" s="576"/>
      <c r="AG35" s="333"/>
    </row>
    <row r="36" spans="2:33" ht="267.64999999999998" customHeight="1" thickBot="1" x14ac:dyDescent="0.5">
      <c r="B36" s="613"/>
      <c r="C36" s="525">
        <v>9</v>
      </c>
      <c r="D36" s="528" t="s">
        <v>222</v>
      </c>
      <c r="E36" s="425" t="s">
        <v>360</v>
      </c>
      <c r="F36" s="400" t="s">
        <v>154</v>
      </c>
      <c r="G36" s="35" t="s">
        <v>80</v>
      </c>
      <c r="H36" s="157" t="e">
        <f>VLOOKUP(G36,$B$75:$C$76,2,0)</f>
        <v>#N/A</v>
      </c>
      <c r="I36" s="158">
        <v>2</v>
      </c>
      <c r="J36" s="10" t="s">
        <v>80</v>
      </c>
      <c r="K36" s="157" t="e">
        <f>VLOOKUP(J36,$B$79:$C$80,2,0)</f>
        <v>#N/A</v>
      </c>
      <c r="L36" s="158">
        <v>1</v>
      </c>
      <c r="M36" s="10" t="s">
        <v>80</v>
      </c>
      <c r="N36" s="259" t="e">
        <f>VLOOKUP(M36,$B$84:$C$85,2,0)</f>
        <v>#N/A</v>
      </c>
      <c r="O36" s="158">
        <v>2</v>
      </c>
      <c r="P36" s="10" t="s">
        <v>80</v>
      </c>
      <c r="Q36" s="157" t="e">
        <f>VLOOKUP(P36,$B$75:$C$76,2,0)</f>
        <v>#N/A</v>
      </c>
      <c r="R36" s="159">
        <v>2</v>
      </c>
      <c r="S36" s="156" t="str">
        <f t="shared" si="4"/>
        <v>-</v>
      </c>
      <c r="T36" s="157">
        <f t="shared" si="5"/>
        <v>10</v>
      </c>
      <c r="U36" s="18" t="str">
        <f t="shared" si="6"/>
        <v>Pendiente</v>
      </c>
      <c r="V36" s="11" t="str">
        <f>IF(COUNTIF(U19:U38,"Pendiente")&gt;0,"Pendiente",IF(U36="No aplica","No aplica",IF(U36&gt;=100%,"Muy Bajo",IF(U36&gt;=80%,"Bajo",IF(U36&gt;=60%,"Medio",IF(U36&gt;=40%,"Alto","Muy Alto"))))))</f>
        <v>Pendiente</v>
      </c>
      <c r="W36" s="160" t="str">
        <f t="shared" si="7"/>
        <v>Pendiente</v>
      </c>
      <c r="X36" s="589">
        <v>1</v>
      </c>
      <c r="Y36" s="12" t="str">
        <f t="shared" ref="Y36:Y38" si="17">+W36</f>
        <v>Pendiente</v>
      </c>
      <c r="Z36" s="222">
        <v>1</v>
      </c>
      <c r="AA36" s="601" t="str">
        <f>IF($G$3="No","No aplica",+IF(COUNTIF(Y36:Y38,"Pendiente")&gt;0,"Pendiente",AVERAGE(3*Y36*1.5,3*Y37*1.5,3*Y38*1.5)))</f>
        <v>Pendiente</v>
      </c>
      <c r="AB36" s="261" t="s">
        <v>278</v>
      </c>
      <c r="AC36" s="163" t="str">
        <f t="shared" si="8"/>
        <v>Pendiente</v>
      </c>
      <c r="AD36" s="392"/>
      <c r="AE36" s="401" t="str">
        <f t="shared" si="9"/>
        <v>Pendiente</v>
      </c>
      <c r="AF36" s="510" t="str">
        <f>IF($G$3="No","No aplica",+IF(AA36="Pendiente","Pendiente",IF(COUNTIF(AD19:AD38,"")&gt;0,"Pendiente",AVERAGE(3*1.5*AE36,3*1.5*AE37,3*1.5*AE38))))</f>
        <v>Pendiente</v>
      </c>
      <c r="AG36" s="240"/>
    </row>
    <row r="37" spans="2:33" ht="161.15" customHeight="1" x14ac:dyDescent="0.45">
      <c r="B37" s="613"/>
      <c r="C37" s="526"/>
      <c r="D37" s="529"/>
      <c r="E37" s="426" t="s">
        <v>441</v>
      </c>
      <c r="F37" s="418" t="s">
        <v>155</v>
      </c>
      <c r="G37" s="36" t="s">
        <v>80</v>
      </c>
      <c r="H37" s="124" t="e">
        <f>VLOOKUP(G37,$B$75:$C$76,2,0)</f>
        <v>#N/A</v>
      </c>
      <c r="I37" s="169">
        <v>2</v>
      </c>
      <c r="J37" s="9" t="s">
        <v>80</v>
      </c>
      <c r="K37" s="124" t="e">
        <f>VLOOKUP(J37,$B$79:$C$80,2,0)</f>
        <v>#N/A</v>
      </c>
      <c r="L37" s="169">
        <v>1</v>
      </c>
      <c r="M37" s="9" t="s">
        <v>80</v>
      </c>
      <c r="N37" s="264" t="e">
        <f>VLOOKUP(M37,$B$84:$C$85,2,0)</f>
        <v>#N/A</v>
      </c>
      <c r="O37" s="169">
        <v>2</v>
      </c>
      <c r="P37" s="9" t="s">
        <v>80</v>
      </c>
      <c r="Q37" s="157" t="e">
        <f>VLOOKUP(P37,$B$75:$C$76,2,0)</f>
        <v>#N/A</v>
      </c>
      <c r="R37" s="170">
        <v>2</v>
      </c>
      <c r="S37" s="168" t="str">
        <f t="shared" si="4"/>
        <v>-</v>
      </c>
      <c r="T37" s="124">
        <f t="shared" si="5"/>
        <v>10</v>
      </c>
      <c r="U37" s="28" t="str">
        <f t="shared" si="6"/>
        <v>Pendiente</v>
      </c>
      <c r="V37" s="30" t="str">
        <f>IF(COUNTIF(U19:U38,"Pendiente")&gt;0,"Pendiente",IF(U37="No aplica","No aplica",IF(U37&gt;=100%,"Muy Bajo",IF(U37&gt;=80%,"Bajo",IF(U37&gt;=60%,"Medio",IF(U37&gt;=40%,"Alto","Muy Alto"))))))</f>
        <v>Pendiente</v>
      </c>
      <c r="W37" s="171" t="str">
        <f t="shared" si="7"/>
        <v>Pendiente</v>
      </c>
      <c r="X37" s="587"/>
      <c r="Y37" s="31" t="str">
        <f>+W37</f>
        <v>Pendiente</v>
      </c>
      <c r="Z37" s="323">
        <v>1</v>
      </c>
      <c r="AA37" s="602"/>
      <c r="AB37" s="266" t="s">
        <v>279</v>
      </c>
      <c r="AC37" s="174" t="str">
        <f t="shared" si="8"/>
        <v>Pendiente</v>
      </c>
      <c r="AD37" s="390"/>
      <c r="AE37" s="419" t="str">
        <f t="shared" si="9"/>
        <v>Pendiente</v>
      </c>
      <c r="AF37" s="512"/>
      <c r="AG37" s="241"/>
    </row>
    <row r="38" spans="2:33" ht="278" thickBot="1" x14ac:dyDescent="0.5">
      <c r="B38" s="614"/>
      <c r="C38" s="527"/>
      <c r="D38" s="530"/>
      <c r="E38" s="427" t="s">
        <v>442</v>
      </c>
      <c r="F38" s="402" t="s">
        <v>223</v>
      </c>
      <c r="G38" s="40" t="s">
        <v>80</v>
      </c>
      <c r="H38" s="192" t="e">
        <f>VLOOKUP(G38,$B$75:$C$76,2,0)</f>
        <v>#N/A</v>
      </c>
      <c r="I38" s="193">
        <v>2</v>
      </c>
      <c r="J38" s="25" t="s">
        <v>80</v>
      </c>
      <c r="K38" s="192" t="e">
        <f>VLOOKUP(J38,$B$79:$C$80,2,0)</f>
        <v>#N/A</v>
      </c>
      <c r="L38" s="193">
        <v>1</v>
      </c>
      <c r="M38" s="25" t="s">
        <v>80</v>
      </c>
      <c r="N38" s="271" t="e">
        <f>VLOOKUP(M38,$B$84:$C$85,2,0)</f>
        <v>#N/A</v>
      </c>
      <c r="O38" s="193">
        <v>2</v>
      </c>
      <c r="P38" s="25" t="s">
        <v>80</v>
      </c>
      <c r="Q38" s="192" t="e">
        <f>VLOOKUP(P38,$B$75:$C$76,2,0)</f>
        <v>#N/A</v>
      </c>
      <c r="R38" s="194">
        <v>2</v>
      </c>
      <c r="S38" s="191" t="str">
        <f t="shared" si="4"/>
        <v>-</v>
      </c>
      <c r="T38" s="192">
        <f t="shared" si="5"/>
        <v>10</v>
      </c>
      <c r="U38" s="29" t="str">
        <f t="shared" si="6"/>
        <v>Pendiente</v>
      </c>
      <c r="V38" s="26" t="str">
        <f>IF(COUNTIF(U19:U38,"Pendiente")&gt;0,"Pendiente",IF(U38="No aplica","No aplica",IF(U38&gt;=100%,"Muy Bajo",IF(U38&gt;=80%,"Bajo",IF(U38&gt;=60%,"Medio",IF(U38&gt;=40%,"Alto","Muy Alto"))))))</f>
        <v>Pendiente</v>
      </c>
      <c r="W38" s="196" t="str">
        <f t="shared" si="7"/>
        <v>Pendiente</v>
      </c>
      <c r="X38" s="588"/>
      <c r="Y38" s="27" t="str">
        <f t="shared" si="17"/>
        <v>Pendiente</v>
      </c>
      <c r="Z38" s="184">
        <v>1</v>
      </c>
      <c r="AA38" s="603"/>
      <c r="AB38" s="273" t="s">
        <v>244</v>
      </c>
      <c r="AC38" s="186" t="str">
        <f t="shared" si="8"/>
        <v>Pendiente</v>
      </c>
      <c r="AD38" s="391"/>
      <c r="AE38" s="403" t="str">
        <f t="shared" si="9"/>
        <v>Pendiente</v>
      </c>
      <c r="AF38" s="511"/>
      <c r="AG38" s="242"/>
    </row>
    <row r="39" spans="2:33" hidden="1" x14ac:dyDescent="0.45">
      <c r="F39" s="593"/>
      <c r="G39" s="555"/>
      <c r="H39" s="555"/>
      <c r="I39" s="555"/>
      <c r="J39" s="555"/>
      <c r="K39" s="555"/>
      <c r="L39" s="555"/>
      <c r="M39" s="555"/>
      <c r="N39" s="555"/>
      <c r="O39" s="555"/>
      <c r="P39" s="555"/>
      <c r="Q39" s="555"/>
      <c r="R39" s="555"/>
      <c r="S39" s="555"/>
      <c r="T39" s="555"/>
      <c r="U39" s="555"/>
      <c r="V39" s="555"/>
      <c r="W39" s="555"/>
      <c r="X39" s="555"/>
      <c r="Y39" s="555"/>
      <c r="Z39" s="555"/>
      <c r="AA39" s="555"/>
      <c r="AB39" s="555"/>
      <c r="AC39" s="555"/>
      <c r="AD39" s="555"/>
      <c r="AE39" s="594"/>
      <c r="AF39" s="595" t="str">
        <f>IF($G$3="No","No aplica",IF(COUNTIF(AF19:AF38,"Pendiente")&gt;0,"Pendiente",IF(AND(V21="Muy Alto",AD21="No",V22="Muy Alto",AD22="No",V30="Muy Alto",AD30="No"),90%+SUM(AF19:AF20,AF23:AF28,AF32:AF38)*0.9/(53.1-10.8-10.8-7.2),IF(AND(V21="Muy Alto",AD21="No",V22="Muy Alto",AD22="No"),60%+SUM(AF19:AF20,AF23:AF38)*0.9/(53.1-10.8-10.8),IF(AND(V21="Muy Alto",AD21="No",V30="Muy Alto",AD30="No"),60%+SUM(AF19:AF20,AF22:AF28,AF32:AF38)*0.9/(53.1-10.8-7.2),IF(AND(V22="Muy Alto",AD22="No",V30="Muy Alto",AD30="No"),60%+SUM(AF19:AF21,AF23:AF28,AF32:AF38)*0.9/(53.1-10.8-7.2),IF(AND(V21="Muy Alto",AD21="No"),30%+SUM(AF19:AF20,AF22:AF38)*0.9/(53.1-10.8),IF(AND(V22="Muy Alto",AD22="No"),30%+SUM(AF19:AF21,AF23:AF38)*0.9/(53.1-10.8),IF(AND(V30="Muy Alto",AD30="No"),30%+SUM(AF19:AF28,AF32:AF38)*0.9/(53.1-7.2),SUM(AF19:AF38)*0.9/53.1)))))))))</f>
        <v>Pendiente</v>
      </c>
    </row>
    <row r="40" spans="2:33" ht="19" hidden="1" thickBot="1" x14ac:dyDescent="0.5">
      <c r="F40" s="550"/>
      <c r="G40" s="551"/>
      <c r="H40" s="551"/>
      <c r="I40" s="551"/>
      <c r="J40" s="551"/>
      <c r="K40" s="551"/>
      <c r="L40" s="551"/>
      <c r="M40" s="551"/>
      <c r="N40" s="551"/>
      <c r="O40" s="551"/>
      <c r="P40" s="551"/>
      <c r="Q40" s="551"/>
      <c r="R40" s="551"/>
      <c r="S40" s="551"/>
      <c r="T40" s="551"/>
      <c r="U40" s="551"/>
      <c r="V40" s="551"/>
      <c r="W40" s="551"/>
      <c r="X40" s="551"/>
      <c r="Y40" s="551"/>
      <c r="Z40" s="551"/>
      <c r="AA40" s="551"/>
      <c r="AB40" s="551"/>
      <c r="AC40" s="551"/>
      <c r="AD40" s="551"/>
      <c r="AE40" s="552"/>
      <c r="AF40" s="596"/>
    </row>
    <row r="41" spans="2:33" x14ac:dyDescent="0.45">
      <c r="F41" s="547" t="s">
        <v>447</v>
      </c>
      <c r="G41" s="548"/>
      <c r="H41" s="548"/>
      <c r="I41" s="548"/>
      <c r="J41" s="548"/>
      <c r="K41" s="548"/>
      <c r="L41" s="548"/>
      <c r="M41" s="548"/>
      <c r="N41" s="548"/>
      <c r="O41" s="548"/>
      <c r="P41" s="548"/>
      <c r="Q41" s="548"/>
      <c r="R41" s="548"/>
      <c r="S41" s="548"/>
      <c r="T41" s="548"/>
      <c r="U41" s="548"/>
      <c r="V41" s="548"/>
      <c r="W41" s="548"/>
      <c r="X41" s="548"/>
      <c r="Y41" s="548"/>
      <c r="Z41" s="548"/>
      <c r="AA41" s="548"/>
      <c r="AB41" s="548"/>
      <c r="AC41" s="548"/>
      <c r="AD41" s="548"/>
      <c r="AE41" s="549"/>
      <c r="AF41" s="595" t="str">
        <f>IF($G$3="No","No aplica",IF(COUNTIF(AF19:AF38,"Pendiente")&gt;0,"Pendiente",IF(AF39&gt;=90%,90%,AF39)))</f>
        <v>Pendiente</v>
      </c>
    </row>
    <row r="42" spans="2:33" ht="19" thickBot="1" x14ac:dyDescent="0.5">
      <c r="F42" s="550"/>
      <c r="G42" s="551"/>
      <c r="H42" s="551"/>
      <c r="I42" s="551"/>
      <c r="J42" s="551"/>
      <c r="K42" s="551"/>
      <c r="L42" s="551"/>
      <c r="M42" s="551"/>
      <c r="N42" s="551"/>
      <c r="O42" s="551"/>
      <c r="P42" s="551"/>
      <c r="Q42" s="551"/>
      <c r="R42" s="551"/>
      <c r="S42" s="551"/>
      <c r="T42" s="551"/>
      <c r="U42" s="551"/>
      <c r="V42" s="551"/>
      <c r="W42" s="551"/>
      <c r="X42" s="551"/>
      <c r="Y42" s="551"/>
      <c r="Z42" s="551"/>
      <c r="AA42" s="551"/>
      <c r="AB42" s="551"/>
      <c r="AC42" s="551"/>
      <c r="AD42" s="551"/>
      <c r="AE42" s="552"/>
      <c r="AF42" s="596"/>
    </row>
    <row r="52" spans="1:4" x14ac:dyDescent="0.45">
      <c r="A52" s="497"/>
      <c r="B52" s="497"/>
      <c r="C52" s="497"/>
      <c r="D52" s="498"/>
    </row>
    <row r="53" spans="1:4" x14ac:dyDescent="0.45">
      <c r="A53" s="497"/>
      <c r="B53" s="497"/>
      <c r="C53" s="497"/>
      <c r="D53" s="498"/>
    </row>
    <row r="54" spans="1:4" x14ac:dyDescent="0.45">
      <c r="A54" s="497"/>
      <c r="B54" s="497"/>
      <c r="C54" s="497"/>
      <c r="D54" s="498"/>
    </row>
    <row r="55" spans="1:4" x14ac:dyDescent="0.45">
      <c r="A55" s="497"/>
      <c r="B55" s="497"/>
      <c r="C55" s="497"/>
      <c r="D55" s="498"/>
    </row>
    <row r="56" spans="1:4" x14ac:dyDescent="0.45">
      <c r="A56" s="497"/>
      <c r="B56" s="497"/>
      <c r="C56" s="497"/>
      <c r="D56" s="498"/>
    </row>
    <row r="57" spans="1:4" x14ac:dyDescent="0.45">
      <c r="A57" s="497"/>
      <c r="B57" s="497"/>
      <c r="C57" s="497"/>
      <c r="D57" s="498"/>
    </row>
    <row r="58" spans="1:4" x14ac:dyDescent="0.45">
      <c r="A58" s="497"/>
      <c r="B58" s="497"/>
      <c r="C58" s="497"/>
      <c r="D58" s="498"/>
    </row>
    <row r="59" spans="1:4" x14ac:dyDescent="0.45">
      <c r="A59" s="497"/>
      <c r="B59" s="497"/>
      <c r="C59" s="497"/>
      <c r="D59" s="498"/>
    </row>
    <row r="60" spans="1:4" x14ac:dyDescent="0.45">
      <c r="A60" s="497"/>
      <c r="B60" s="497"/>
      <c r="C60" s="497"/>
      <c r="D60" s="498"/>
    </row>
    <row r="61" spans="1:4" x14ac:dyDescent="0.45">
      <c r="A61" s="497"/>
      <c r="B61" s="497"/>
      <c r="C61" s="497"/>
      <c r="D61" s="498"/>
    </row>
    <row r="62" spans="1:4" x14ac:dyDescent="0.45">
      <c r="A62" s="497"/>
      <c r="B62" s="497"/>
      <c r="C62" s="497"/>
      <c r="D62" s="498"/>
    </row>
    <row r="63" spans="1:4" x14ac:dyDescent="0.45">
      <c r="A63" s="497"/>
      <c r="B63" s="497"/>
      <c r="C63" s="497"/>
      <c r="D63" s="498"/>
    </row>
    <row r="64" spans="1:4" x14ac:dyDescent="0.45">
      <c r="A64" s="497"/>
      <c r="B64" s="497"/>
      <c r="C64" s="497"/>
      <c r="D64" s="498"/>
    </row>
    <row r="65" spans="1:23" x14ac:dyDescent="0.45">
      <c r="A65" s="497"/>
      <c r="B65" s="497"/>
      <c r="C65" s="497"/>
      <c r="D65" s="498"/>
    </row>
    <row r="66" spans="1:23" x14ac:dyDescent="0.45">
      <c r="A66" s="497"/>
      <c r="B66" s="499" t="s">
        <v>80</v>
      </c>
      <c r="C66" s="497"/>
      <c r="D66" s="498"/>
    </row>
    <row r="67" spans="1:23" x14ac:dyDescent="0.45">
      <c r="A67" s="497"/>
      <c r="B67" s="499" t="s">
        <v>44</v>
      </c>
      <c r="C67" s="497"/>
      <c r="D67" s="498"/>
    </row>
    <row r="68" spans="1:23" x14ac:dyDescent="0.45">
      <c r="A68" s="497"/>
      <c r="B68" s="499" t="s">
        <v>64</v>
      </c>
      <c r="C68" s="497"/>
      <c r="D68" s="498"/>
    </row>
    <row r="69" spans="1:23" x14ac:dyDescent="0.45">
      <c r="A69" s="497"/>
      <c r="B69" s="497"/>
      <c r="C69" s="497"/>
      <c r="D69" s="498"/>
    </row>
    <row r="70" spans="1:23" x14ac:dyDescent="0.45">
      <c r="A70" s="497"/>
      <c r="B70" s="499" t="s">
        <v>80</v>
      </c>
      <c r="C70" s="497"/>
      <c r="D70" s="498"/>
    </row>
    <row r="71" spans="1:23" x14ac:dyDescent="0.45">
      <c r="A71" s="497"/>
      <c r="B71" s="499" t="s">
        <v>44</v>
      </c>
      <c r="C71" s="498">
        <v>1</v>
      </c>
      <c r="D71" s="499" t="s">
        <v>46</v>
      </c>
      <c r="W71" s="118"/>
    </row>
    <row r="72" spans="1:23" x14ac:dyDescent="0.45">
      <c r="A72" s="497"/>
      <c r="B72" s="499" t="s">
        <v>64</v>
      </c>
      <c r="C72" s="498">
        <v>3</v>
      </c>
      <c r="D72" s="497"/>
    </row>
    <row r="73" spans="1:23" x14ac:dyDescent="0.45">
      <c r="A73" s="497"/>
      <c r="B73" s="497"/>
      <c r="C73" s="497"/>
      <c r="D73" s="498"/>
    </row>
    <row r="74" spans="1:23" x14ac:dyDescent="0.45">
      <c r="A74" s="497"/>
      <c r="B74" s="499" t="s">
        <v>80</v>
      </c>
      <c r="C74" s="497"/>
      <c r="D74" s="498"/>
    </row>
    <row r="75" spans="1:23" x14ac:dyDescent="0.45">
      <c r="A75" s="497"/>
      <c r="B75" s="499" t="s">
        <v>44</v>
      </c>
      <c r="C75" s="498">
        <v>2</v>
      </c>
      <c r="D75" s="499" t="s">
        <v>81</v>
      </c>
    </row>
    <row r="76" spans="1:23" x14ac:dyDescent="0.45">
      <c r="A76" s="497"/>
      <c r="B76" s="499" t="s">
        <v>64</v>
      </c>
      <c r="C76" s="498">
        <v>0</v>
      </c>
      <c r="D76" s="497"/>
    </row>
    <row r="77" spans="1:23" x14ac:dyDescent="0.45">
      <c r="A77" s="497"/>
      <c r="B77" s="497"/>
      <c r="C77" s="497"/>
      <c r="D77" s="498"/>
    </row>
    <row r="78" spans="1:23" x14ac:dyDescent="0.45">
      <c r="A78" s="497"/>
      <c r="B78" s="499" t="s">
        <v>80</v>
      </c>
      <c r="C78" s="497"/>
      <c r="D78" s="498"/>
    </row>
    <row r="79" spans="1:23" x14ac:dyDescent="0.45">
      <c r="A79" s="497"/>
      <c r="B79" s="499" t="s">
        <v>44</v>
      </c>
      <c r="C79" s="498">
        <v>0</v>
      </c>
      <c r="D79" s="499" t="s">
        <v>50</v>
      </c>
    </row>
    <row r="80" spans="1:23" x14ac:dyDescent="0.45">
      <c r="A80" s="497"/>
      <c r="B80" s="499" t="s">
        <v>64</v>
      </c>
      <c r="C80" s="498">
        <v>1</v>
      </c>
      <c r="D80" s="497"/>
    </row>
    <row r="81" spans="1:4" x14ac:dyDescent="0.45">
      <c r="A81" s="497"/>
      <c r="B81" s="497"/>
      <c r="C81" s="497"/>
      <c r="D81" s="498"/>
    </row>
    <row r="82" spans="1:4" x14ac:dyDescent="0.45">
      <c r="A82" s="497"/>
      <c r="B82" s="497"/>
      <c r="C82" s="497"/>
      <c r="D82" s="498"/>
    </row>
    <row r="83" spans="1:4" x14ac:dyDescent="0.45">
      <c r="A83" s="497"/>
      <c r="B83" s="499" t="s">
        <v>80</v>
      </c>
      <c r="C83" s="497"/>
      <c r="D83" s="498"/>
    </row>
    <row r="84" spans="1:4" x14ac:dyDescent="0.45">
      <c r="A84" s="497"/>
      <c r="B84" s="499" t="s">
        <v>44</v>
      </c>
      <c r="C84" s="498">
        <v>0</v>
      </c>
      <c r="D84" s="499" t="s">
        <v>51</v>
      </c>
    </row>
    <row r="85" spans="1:4" x14ac:dyDescent="0.45">
      <c r="A85" s="497"/>
      <c r="B85" s="499" t="s">
        <v>64</v>
      </c>
      <c r="C85" s="498">
        <v>2</v>
      </c>
      <c r="D85" s="497"/>
    </row>
    <row r="86" spans="1:4" x14ac:dyDescent="0.45">
      <c r="A86" s="497"/>
      <c r="B86" s="497"/>
      <c r="C86" s="497"/>
      <c r="D86" s="498"/>
    </row>
    <row r="87" spans="1:4" x14ac:dyDescent="0.45">
      <c r="A87" s="497"/>
      <c r="B87" s="497"/>
      <c r="C87" s="497"/>
      <c r="D87" s="498"/>
    </row>
    <row r="88" spans="1:4" x14ac:dyDescent="0.45">
      <c r="A88" s="497"/>
      <c r="B88" s="497"/>
      <c r="C88" s="497"/>
      <c r="D88" s="498"/>
    </row>
  </sheetData>
  <sheetProtection algorithmName="SHA-512" hashValue="QP2FZomF0jKulzN0gj5i8tDnVUPRhKsphs8+zLrFP0CrWL8nsJpbEBdt/0Eq1SRcFmwk8X6YAWvMLG4ETUs2Uw==" saltValue="B3D2cYKQr5BgxbhHl4G7ig==" spinCount="100000" sheet="1" objects="1" scenarios="1"/>
  <mergeCells count="52">
    <mergeCell ref="AF41:AF42"/>
    <mergeCell ref="C19:C20"/>
    <mergeCell ref="D19:D20"/>
    <mergeCell ref="AA19:AA20"/>
    <mergeCell ref="AF19:AF20"/>
    <mergeCell ref="AF23:AF24"/>
    <mergeCell ref="F39:AE40"/>
    <mergeCell ref="AF39:AF40"/>
    <mergeCell ref="AA25:AA26"/>
    <mergeCell ref="AF25:AF26"/>
    <mergeCell ref="X23:X24"/>
    <mergeCell ref="X25:X26"/>
    <mergeCell ref="X27:X28"/>
    <mergeCell ref="X29:X31"/>
    <mergeCell ref="X32:X35"/>
    <mergeCell ref="C29:C31"/>
    <mergeCell ref="D1:E1"/>
    <mergeCell ref="D5:E5"/>
    <mergeCell ref="D10:E10"/>
    <mergeCell ref="E18:F18"/>
    <mergeCell ref="F41:AE42"/>
    <mergeCell ref="X36:X38"/>
    <mergeCell ref="AC18:AD18"/>
    <mergeCell ref="D29:D31"/>
    <mergeCell ref="AA29:AA31"/>
    <mergeCell ref="E15:F15"/>
    <mergeCell ref="E14:F14"/>
    <mergeCell ref="E13:F13"/>
    <mergeCell ref="E12:F12"/>
    <mergeCell ref="E3:F3"/>
    <mergeCell ref="E8:F8"/>
    <mergeCell ref="C23:C24"/>
    <mergeCell ref="D23:D24"/>
    <mergeCell ref="AA23:AA24"/>
    <mergeCell ref="C18:D18"/>
    <mergeCell ref="X19:X20"/>
    <mergeCell ref="AF29:AF31"/>
    <mergeCell ref="C25:C26"/>
    <mergeCell ref="D25:D26"/>
    <mergeCell ref="B19:B38"/>
    <mergeCell ref="C32:C35"/>
    <mergeCell ref="D32:D35"/>
    <mergeCell ref="AA32:AA35"/>
    <mergeCell ref="AF32:AF35"/>
    <mergeCell ref="C36:C38"/>
    <mergeCell ref="D36:D38"/>
    <mergeCell ref="AA36:AA38"/>
    <mergeCell ref="AF36:AF38"/>
    <mergeCell ref="C27:C28"/>
    <mergeCell ref="D27:D28"/>
    <mergeCell ref="AA27:AA28"/>
    <mergeCell ref="AF27:AF28"/>
  </mergeCells>
  <phoneticPr fontId="4" type="noConversion"/>
  <conditionalFormatting sqref="G3 G19:P38">
    <cfRule type="cellIs" dxfId="150" priority="35" stopIfTrue="1" operator="equal">
      <formula>"-"</formula>
    </cfRule>
  </conditionalFormatting>
  <conditionalFormatting sqref="G8">
    <cfRule type="cellIs" dxfId="149" priority="34" stopIfTrue="1" operator="equal">
      <formula>"-"</formula>
    </cfRule>
  </conditionalFormatting>
  <conditionalFormatting sqref="U19:U38">
    <cfRule type="expression" dxfId="148" priority="44">
      <formula>+$U19="pendiente"</formula>
    </cfRule>
  </conditionalFormatting>
  <conditionalFormatting sqref="U19:W38">
    <cfRule type="expression" dxfId="147" priority="18">
      <formula>+$U19="No aplica"</formula>
    </cfRule>
  </conditionalFormatting>
  <conditionalFormatting sqref="V19:V38">
    <cfRule type="expression" dxfId="146" priority="120">
      <formula>+$V19="Bajo"</formula>
    </cfRule>
    <cfRule type="expression" dxfId="145" priority="119">
      <formula>+$V19="Medio"</formula>
    </cfRule>
    <cfRule type="expression" dxfId="144" priority="118">
      <formula>+$V19="Alto"</formula>
    </cfRule>
    <cfRule type="expression" dxfId="143" priority="117">
      <formula>+$V19="Muy Alto"</formula>
    </cfRule>
    <cfRule type="expression" dxfId="142" priority="43">
      <formula>+$V19="pendiente"</formula>
    </cfRule>
    <cfRule type="expression" dxfId="141" priority="121">
      <formula>+$V19="Muy Bajo"</formula>
    </cfRule>
  </conditionalFormatting>
  <conditionalFormatting sqref="W19:W38">
    <cfRule type="expression" dxfId="140" priority="42">
      <formula>+$W19="pendiente"</formula>
    </cfRule>
  </conditionalFormatting>
  <conditionalFormatting sqref="Y19:Y38">
    <cfRule type="expression" dxfId="139" priority="70">
      <formula>+$Y19="pendiente"</formula>
    </cfRule>
    <cfRule type="expression" dxfId="138" priority="17">
      <formula>+$U19="No aplica"</formula>
    </cfRule>
  </conditionalFormatting>
  <conditionalFormatting sqref="AA19:AA25 AA27:AA38">
    <cfRule type="expression" dxfId="137" priority="29">
      <formula>+$AA19="pendiente"</formula>
    </cfRule>
  </conditionalFormatting>
  <conditionalFormatting sqref="AA19:AA38">
    <cfRule type="expression" dxfId="136" priority="16">
      <formula>+$U19="No aplica"</formula>
    </cfRule>
  </conditionalFormatting>
  <conditionalFormatting sqref="AC19:AC38">
    <cfRule type="cellIs" dxfId="135" priority="14" operator="equal">
      <formula>"En la siguiente columna responda NO"</formula>
    </cfRule>
  </conditionalFormatting>
  <conditionalFormatting sqref="AD19:AD38">
    <cfRule type="cellIs" dxfId="134" priority="11" operator="equal">
      <formula>"No"</formula>
    </cfRule>
    <cfRule type="cellIs" dxfId="133" priority="12" operator="equal">
      <formula>"Sí"</formula>
    </cfRule>
  </conditionalFormatting>
  <conditionalFormatting sqref="AE19:AE38">
    <cfRule type="expression" dxfId="132" priority="13">
      <formula>+$AE19="pendiente"</formula>
    </cfRule>
  </conditionalFormatting>
  <conditionalFormatting sqref="AF19:AF25 AF27:AF38">
    <cfRule type="colorScale" priority="402">
      <colorScale>
        <cfvo type="min"/>
        <cfvo type="percentile" val="50"/>
        <cfvo type="max"/>
        <color rgb="FFF8696B"/>
        <color rgb="FFFFEB84"/>
        <color rgb="FF63BE7B"/>
      </colorScale>
    </cfRule>
    <cfRule type="expression" dxfId="131" priority="397">
      <formula>+$AF19="pendiente"</formula>
    </cfRule>
    <cfRule type="cellIs" dxfId="130" priority="398" operator="between">
      <formula>0</formula>
      <formula>1.349999</formula>
    </cfRule>
    <cfRule type="cellIs" dxfId="129" priority="399" operator="between">
      <formula>1.35</formula>
      <formula>2.699999</formula>
    </cfRule>
    <cfRule type="cellIs" dxfId="128" priority="400" operator="between">
      <formula>2.04</formula>
      <formula>5.399999</formula>
    </cfRule>
    <cfRule type="cellIs" dxfId="127" priority="401" operator="between">
      <formula>5.4</formula>
      <formula>10.8</formula>
    </cfRule>
  </conditionalFormatting>
  <conditionalFormatting sqref="AF19:AF38">
    <cfRule type="expression" dxfId="126" priority="15">
      <formula>+$U19="No aplica"</formula>
    </cfRule>
  </conditionalFormatting>
  <conditionalFormatting sqref="AF39">
    <cfRule type="cellIs" dxfId="125" priority="28" operator="between">
      <formula>0.5</formula>
      <formula>100</formula>
    </cfRule>
    <cfRule type="cellIs" dxfId="124" priority="27" operator="between">
      <formula>0.25</formula>
      <formula>0.499999</formula>
    </cfRule>
    <cfRule type="cellIs" dxfId="123" priority="26" operator="between">
      <formula>0.1</formula>
      <formula>0.24999</formula>
    </cfRule>
    <cfRule type="cellIs" dxfId="122" priority="25" operator="between">
      <formula>0</formula>
      <formula>0.09999</formula>
    </cfRule>
    <cfRule type="containsText" dxfId="121" priority="24" operator="containsText" text="pendiente">
      <formula>NOT(ISERROR(SEARCH("pendiente",AF39)))</formula>
    </cfRule>
  </conditionalFormatting>
  <conditionalFormatting sqref="AF41">
    <cfRule type="cellIs" dxfId="120" priority="5" operator="between">
      <formula>0.5</formula>
      <formula>100</formula>
    </cfRule>
    <cfRule type="cellIs" dxfId="119" priority="4" operator="between">
      <formula>0.25</formula>
      <formula>0.49999</formula>
    </cfRule>
    <cfRule type="cellIs" dxfId="118" priority="3" operator="between">
      <formula>0.1</formula>
      <formula>0.249999</formula>
    </cfRule>
    <cfRule type="cellIs" dxfId="117" priority="2" operator="between">
      <formula>0</formula>
      <formula>0.09999</formula>
    </cfRule>
    <cfRule type="cellIs" dxfId="116" priority="1" operator="equal">
      <formula>"pendiente"</formula>
    </cfRule>
  </conditionalFormatting>
  <dataValidations disablePrompts="1" count="5">
    <dataValidation type="list" allowBlank="1" showInputMessage="1" showErrorMessage="1" sqref="F9:F11" xr:uid="{3B2F1325-01E5-4083-B573-F50A58C860D8}">
      <formula1>$C$61:$C$62</formula1>
    </dataValidation>
    <dataValidation type="list" allowBlank="1" showInputMessage="1" showErrorMessage="1" sqref="G8" xr:uid="{793C80B1-298C-49C5-9AFF-27E5BBE1A233}">
      <formula1>$B$70:$B$72</formula1>
    </dataValidation>
    <dataValidation type="list" allowBlank="1" showInputMessage="1" showErrorMessage="1" sqref="G3" xr:uid="{C7385414-1C31-4288-8882-7DF62EA91D4D}">
      <formula1>$B$66:$B$68</formula1>
    </dataValidation>
    <dataValidation type="list" allowBlank="1" showInputMessage="1" showErrorMessage="1" sqref="J19:J38 G19:G38 M19:M38 P19:P38" xr:uid="{2F174A70-B932-4DB4-ABFB-7C0BA2A9B622}">
      <formula1>$B$78:$B$80</formula1>
    </dataValidation>
    <dataValidation type="list" allowBlank="1" showInputMessage="1" showErrorMessage="1" sqref="AD19:AD38" xr:uid="{DEE01DF7-1E9E-4F25-AB22-9861F58D5A5E}">
      <formula1>"Sí,No"</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8A53B-1708-4EA7-B686-FD8C7AA1CE8E}">
  <dimension ref="A1:AI72"/>
  <sheetViews>
    <sheetView showGridLines="0" topLeftCell="E1" zoomScale="40" zoomScaleNormal="40" workbookViewId="0">
      <selection activeCell="AC31" sqref="AC31"/>
    </sheetView>
  </sheetViews>
  <sheetFormatPr defaultColWidth="8.7265625" defaultRowHeight="18.5" x14ac:dyDescent="0.45"/>
  <cols>
    <col min="1" max="2" width="8.7265625" style="115"/>
    <col min="3" max="3" width="8.7265625" style="239"/>
    <col min="4" max="4" width="22" style="239" customWidth="1"/>
    <col min="5" max="5" width="95.453125" style="115" customWidth="1"/>
    <col min="6" max="6" width="6.7265625" style="115" customWidth="1"/>
    <col min="7" max="7" width="8.7265625" style="115" customWidth="1"/>
    <col min="8" max="8" width="8.7265625" style="115" hidden="1" customWidth="1"/>
    <col min="9" max="9" width="10.81640625" style="115" hidden="1" customWidth="1"/>
    <col min="10" max="10" width="8.7265625" style="115" customWidth="1"/>
    <col min="11" max="12" width="8.7265625" style="115" hidden="1" customWidth="1"/>
    <col min="13" max="13" width="8.7265625" style="115" customWidth="1"/>
    <col min="14" max="15" width="8.7265625" style="115" hidden="1" customWidth="1"/>
    <col min="16" max="16" width="8.7265625" style="115" customWidth="1"/>
    <col min="17" max="18" width="8.7265625" style="115" hidden="1" customWidth="1"/>
    <col min="19" max="19" width="15.54296875" style="115" hidden="1" customWidth="1"/>
    <col min="20" max="20" width="14.453125" style="115" hidden="1" customWidth="1"/>
    <col min="21" max="21" width="23.6328125" style="115" hidden="1" customWidth="1"/>
    <col min="22" max="22" width="20.54296875" style="115" customWidth="1"/>
    <col min="23" max="23" width="25.6328125" style="115" customWidth="1"/>
    <col min="24" max="24" width="28.54296875" style="119" customWidth="1"/>
    <col min="25" max="25" width="20.90625" style="115" customWidth="1"/>
    <col min="26" max="26" width="23.1796875" style="119" bestFit="1" customWidth="1"/>
    <col min="27" max="27" width="18.81640625" style="119" customWidth="1"/>
    <col min="28" max="28" width="92.7265625" style="115" customWidth="1"/>
    <col min="29" max="29" width="39.26953125" style="115" customWidth="1"/>
    <col min="30" max="30" width="15.453125" style="252" customWidth="1"/>
    <col min="31" max="31" width="23.26953125" style="115" customWidth="1"/>
    <col min="32" max="32" width="19.7265625" style="223" customWidth="1"/>
    <col min="33" max="33" width="26.453125" style="115" customWidth="1"/>
    <col min="34" max="16384" width="8.7265625" style="115"/>
  </cols>
  <sheetData>
    <row r="1" spans="3:31" x14ac:dyDescent="0.45">
      <c r="D1" s="513" t="s">
        <v>343</v>
      </c>
      <c r="E1" s="513"/>
      <c r="F1" s="117"/>
      <c r="G1" s="117"/>
      <c r="H1" s="117"/>
    </row>
    <row r="2" spans="3:31" x14ac:dyDescent="0.45">
      <c r="G2" s="122" t="s">
        <v>43</v>
      </c>
      <c r="H2" s="117"/>
      <c r="I2" s="117"/>
    </row>
    <row r="3" spans="3:31" x14ac:dyDescent="0.45">
      <c r="D3" s="123" t="s">
        <v>43</v>
      </c>
      <c r="E3" s="523" t="s">
        <v>468</v>
      </c>
      <c r="F3" s="523"/>
      <c r="G3" s="334" t="s">
        <v>80</v>
      </c>
      <c r="H3" s="117"/>
      <c r="I3" s="117"/>
    </row>
    <row r="4" spans="3:31" x14ac:dyDescent="0.45">
      <c r="G4" s="117"/>
      <c r="H4" s="117"/>
      <c r="I4" s="117"/>
    </row>
    <row r="5" spans="3:31" x14ac:dyDescent="0.45">
      <c r="D5" s="513" t="s">
        <v>45</v>
      </c>
      <c r="E5" s="513"/>
      <c r="G5" s="117"/>
      <c r="H5" s="117"/>
      <c r="I5" s="117"/>
    </row>
    <row r="6" spans="3:31" x14ac:dyDescent="0.45">
      <c r="D6" s="429"/>
      <c r="E6" s="116"/>
      <c r="G6" s="117"/>
      <c r="H6" s="117"/>
      <c r="I6" s="117"/>
    </row>
    <row r="7" spans="3:31" x14ac:dyDescent="0.45">
      <c r="G7" s="122" t="s">
        <v>46</v>
      </c>
      <c r="H7" s="117"/>
      <c r="I7" s="117"/>
    </row>
    <row r="8" spans="3:31" ht="107.5" customHeight="1" x14ac:dyDescent="0.45">
      <c r="D8" s="123" t="s">
        <v>46</v>
      </c>
      <c r="E8" s="524" t="s">
        <v>506</v>
      </c>
      <c r="F8" s="524"/>
      <c r="G8" s="334" t="s">
        <v>80</v>
      </c>
      <c r="H8" s="124" t="e">
        <f>VLOOKUP(G8,$B$50:$C$51,2,0)</f>
        <v>#N/A</v>
      </c>
      <c r="I8" s="124">
        <v>3</v>
      </c>
    </row>
    <row r="9" spans="3:31" x14ac:dyDescent="0.45">
      <c r="D9" s="125"/>
      <c r="E9" s="126"/>
      <c r="F9" s="127"/>
      <c r="G9" s="117"/>
      <c r="H9" s="117"/>
    </row>
    <row r="10" spans="3:31" x14ac:dyDescent="0.45">
      <c r="D10" s="514" t="s">
        <v>47</v>
      </c>
      <c r="E10" s="514"/>
      <c r="F10" s="127"/>
      <c r="G10" s="117"/>
      <c r="H10" s="117"/>
    </row>
    <row r="11" spans="3:31" x14ac:dyDescent="0.45">
      <c r="D11" s="125"/>
      <c r="E11" s="126"/>
      <c r="F11" s="127"/>
      <c r="G11" s="117"/>
      <c r="H11" s="117"/>
    </row>
    <row r="12" spans="3:31" ht="55.5" customHeight="1" x14ac:dyDescent="0.45">
      <c r="D12" s="128" t="s">
        <v>48</v>
      </c>
      <c r="E12" s="524" t="s">
        <v>49</v>
      </c>
      <c r="F12" s="524"/>
      <c r="G12" s="253"/>
      <c r="H12" s="253"/>
      <c r="M12" s="117"/>
    </row>
    <row r="13" spans="3:31" ht="135" customHeight="1" x14ac:dyDescent="0.45">
      <c r="D13" s="130" t="s">
        <v>50</v>
      </c>
      <c r="E13" s="524" t="s">
        <v>533</v>
      </c>
      <c r="F13" s="524"/>
      <c r="G13" s="253"/>
      <c r="H13" s="253"/>
    </row>
    <row r="14" spans="3:31" ht="129.5" customHeight="1" x14ac:dyDescent="0.45">
      <c r="D14" s="131" t="s">
        <v>51</v>
      </c>
      <c r="E14" s="524" t="s">
        <v>363</v>
      </c>
      <c r="F14" s="524"/>
      <c r="G14" s="253"/>
      <c r="H14" s="253"/>
    </row>
    <row r="15" spans="3:31" ht="46.5" customHeight="1" x14ac:dyDescent="0.45">
      <c r="D15" s="132" t="s">
        <v>52</v>
      </c>
      <c r="E15" s="524" t="s">
        <v>53</v>
      </c>
      <c r="F15" s="524"/>
      <c r="G15" s="253"/>
      <c r="H15" s="253"/>
    </row>
    <row r="16" spans="3:31" x14ac:dyDescent="0.45">
      <c r="C16" s="133"/>
      <c r="D16" s="133"/>
      <c r="E16" s="117"/>
      <c r="F16" s="117"/>
      <c r="G16" s="117"/>
      <c r="H16" s="117"/>
      <c r="I16" s="117"/>
      <c r="J16" s="117"/>
      <c r="K16" s="117"/>
      <c r="L16" s="117"/>
      <c r="M16" s="117"/>
      <c r="N16" s="117"/>
      <c r="O16" s="117"/>
      <c r="P16" s="117"/>
      <c r="Q16" s="117"/>
      <c r="R16" s="117"/>
      <c r="S16" s="117"/>
      <c r="T16" s="117"/>
      <c r="U16" s="117"/>
      <c r="V16" s="117"/>
      <c r="W16" s="117"/>
      <c r="AA16" s="135"/>
      <c r="AB16" s="117"/>
      <c r="AC16" s="117"/>
      <c r="AD16" s="120"/>
      <c r="AE16" s="117"/>
    </row>
    <row r="17" spans="2:35" ht="19" thickBot="1" x14ac:dyDescent="0.5">
      <c r="C17" s="117"/>
      <c r="D17" s="133"/>
      <c r="E17" s="117"/>
      <c r="F17" s="117"/>
      <c r="G17" s="117"/>
      <c r="H17" s="117"/>
      <c r="I17" s="117"/>
      <c r="J17" s="117"/>
      <c r="K17" s="117"/>
      <c r="L17" s="117"/>
      <c r="M17" s="117"/>
      <c r="N17" s="117"/>
      <c r="O17" s="117"/>
      <c r="P17" s="117"/>
      <c r="Q17" s="117"/>
      <c r="R17" s="117"/>
      <c r="S17" s="117"/>
      <c r="T17" s="117"/>
      <c r="U17" s="117"/>
      <c r="V17" s="117"/>
      <c r="W17" s="117"/>
      <c r="AA17" s="135"/>
      <c r="AB17" s="117"/>
      <c r="AC17" s="117"/>
      <c r="AD17" s="120"/>
      <c r="AE17" s="117"/>
    </row>
    <row r="18" spans="2:35" ht="37.5" thickBot="1" x14ac:dyDescent="0.5">
      <c r="C18" s="515" t="s">
        <v>364</v>
      </c>
      <c r="D18" s="517"/>
      <c r="E18" s="515" t="s">
        <v>341</v>
      </c>
      <c r="F18" s="516"/>
      <c r="G18" s="137" t="s">
        <v>48</v>
      </c>
      <c r="H18" s="138"/>
      <c r="I18" s="138"/>
      <c r="J18" s="139" t="s">
        <v>50</v>
      </c>
      <c r="K18" s="138"/>
      <c r="L18" s="138"/>
      <c r="M18" s="136" t="s">
        <v>51</v>
      </c>
      <c r="N18" s="138"/>
      <c r="O18" s="138"/>
      <c r="P18" s="140" t="s">
        <v>52</v>
      </c>
      <c r="Q18" s="141"/>
      <c r="R18" s="255"/>
      <c r="S18" s="143" t="s">
        <v>54</v>
      </c>
      <c r="T18" s="138" t="s">
        <v>55</v>
      </c>
      <c r="U18" s="138" t="s">
        <v>56</v>
      </c>
      <c r="V18" s="138" t="s">
        <v>57</v>
      </c>
      <c r="W18" s="144" t="s">
        <v>58</v>
      </c>
      <c r="X18" s="145" t="s">
        <v>508</v>
      </c>
      <c r="Y18" s="146" t="s">
        <v>366</v>
      </c>
      <c r="Z18" s="146" t="s">
        <v>532</v>
      </c>
      <c r="AA18" s="396" t="s">
        <v>59</v>
      </c>
      <c r="AB18" s="150" t="s">
        <v>17</v>
      </c>
      <c r="AC18" s="521" t="s">
        <v>509</v>
      </c>
      <c r="AD18" s="619"/>
      <c r="AE18" s="149" t="s">
        <v>60</v>
      </c>
      <c r="AF18" s="399" t="s">
        <v>61</v>
      </c>
      <c r="AG18" s="152" t="s">
        <v>62</v>
      </c>
    </row>
    <row r="19" spans="2:35" ht="213" customHeight="1" x14ac:dyDescent="0.45">
      <c r="B19" s="622" t="s">
        <v>470</v>
      </c>
      <c r="C19" s="525">
        <v>1</v>
      </c>
      <c r="D19" s="528" t="s">
        <v>449</v>
      </c>
      <c r="E19" s="154" t="s">
        <v>453</v>
      </c>
      <c r="F19" s="400" t="s">
        <v>63</v>
      </c>
      <c r="G19" s="35" t="s">
        <v>80</v>
      </c>
      <c r="H19" s="157" t="e">
        <f t="shared" ref="H19:H32" si="0">VLOOKUP(G19,$B$54:$C$55,2,0)</f>
        <v>#N/A</v>
      </c>
      <c r="I19" s="158">
        <v>2</v>
      </c>
      <c r="J19" s="10" t="s">
        <v>80</v>
      </c>
      <c r="K19" s="157" t="e">
        <f t="shared" ref="K19:K32" si="1">VLOOKUP(J19,$B$58:$C$59,2,0)</f>
        <v>#N/A</v>
      </c>
      <c r="L19" s="158">
        <v>1</v>
      </c>
      <c r="M19" s="10" t="s">
        <v>80</v>
      </c>
      <c r="N19" s="259" t="e">
        <f t="shared" ref="N19:N32" si="2">VLOOKUP(M19,$B$63:$C$64,2,0)</f>
        <v>#N/A</v>
      </c>
      <c r="O19" s="158">
        <v>2</v>
      </c>
      <c r="P19" s="10" t="s">
        <v>80</v>
      </c>
      <c r="Q19" s="157" t="e">
        <f t="shared" ref="Q19:Q32" si="3">VLOOKUP(P19,$B$54:$C$55,2,0)</f>
        <v>#N/A</v>
      </c>
      <c r="R19" s="159">
        <v>2</v>
      </c>
      <c r="S19" s="156" t="str">
        <f t="shared" ref="S19:S32" si="4">IF($G$3="NO","No aplica",IF($G$3="-","-",IF($G$8="-","-",IF(G19="-","-",IF(J19="-","-",IF(M19="-","-",IF(P19="-","-",SUM($H$8,H19,K19,N19,Q19))))))))</f>
        <v>-</v>
      </c>
      <c r="T19" s="157">
        <f t="shared" ref="T19:T32" si="5">SUM($I$8,I19,L19,O19,R19)</f>
        <v>10</v>
      </c>
      <c r="U19" s="18" t="str">
        <f t="shared" ref="U19:U32" si="6">IF($G$3="NO","No aplica",IF(S19="-","Pendiente",+S19/T19))</f>
        <v>Pendiente</v>
      </c>
      <c r="V19" s="11" t="str">
        <f>IF(COUNTIF(U19:U32,"Pendiente")&gt;0,"Pendiente",IF(U19="No aplica","No aplica",IF(U19&gt;=100%,"Muy Bajo",IF(U19&gt;=80%,"Bajo",IF(U19&gt;=60%,"Medio",IF(U19&gt;=40%,"Alto","Muy Alto"))))))</f>
        <v>Pendiente</v>
      </c>
      <c r="W19" s="160" t="str">
        <f t="shared" ref="W19:W32" si="7">+IF($G$3="No","No aplica",IF(V19="Pendiente","Pendiente",IF(V19="Muy Bajo",5%,IF(V19="Bajo",30%,IF(V19="Medio",50%,IF(V19="Alto",70%,90%))))))</f>
        <v>Pendiente</v>
      </c>
      <c r="X19" s="617">
        <v>1</v>
      </c>
      <c r="Y19" s="18" t="str">
        <f>+W19</f>
        <v>Pendiente</v>
      </c>
      <c r="Z19" s="430">
        <v>1</v>
      </c>
      <c r="AA19" s="601" t="str">
        <f>IF($G$3="No","No aplica",+IF(COUNTIF(Y19:Y20,"Pendiente")&gt;0,"Pendiente",AVERAGE(3*Y19*1.5,3*Y20*1.5)))</f>
        <v>Pendiente</v>
      </c>
      <c r="AB19" s="431" t="s">
        <v>225</v>
      </c>
      <c r="AC19" s="163" t="str">
        <f t="shared" ref="AC19:AC32" si="8">IF($G$3="No","No aplica",IF(OR($G$8="-",G19="-",J19="-",M19="-",P19="-"),"Pendiente",IF(AND(G19="No",J19="Sí",M19="Sí",P19="No"),"En la siguiente columna responda NO","Responda a la pregunta en la siguiente columna ----&gt;")))</f>
        <v>Pendiente</v>
      </c>
      <c r="AD19" s="392"/>
      <c r="AE19" s="401" t="str">
        <f>+IF(Y19="No aplica","No aplica",+IF(AND(AC19="En la siguiente columna responda NO",AD19="No"),Y19,IF(AND(AC19="En la siguiente columna responda NO",AD19="Sí"),"Responda No en la pregunta anterior",IF(AD19="SÍ",Y19/2,Y19))))</f>
        <v>Pendiente</v>
      </c>
      <c r="AF19" s="510" t="str">
        <f>IF($G$3="No","No aplica",+IF(AA19="Pendiente","Pendiente",IF(COUNTIF(AD19:AD32,"")&gt;0,"Pendiente",AVERAGE(3*1.5*AE19,3*1.5*AE20))))</f>
        <v>Pendiente</v>
      </c>
      <c r="AG19" s="240"/>
      <c r="AI19" s="118"/>
    </row>
    <row r="20" spans="2:35" ht="185.5" thickBot="1" x14ac:dyDescent="0.5">
      <c r="B20" s="623"/>
      <c r="C20" s="527"/>
      <c r="D20" s="530"/>
      <c r="E20" s="177" t="s">
        <v>454</v>
      </c>
      <c r="F20" s="402" t="s">
        <v>83</v>
      </c>
      <c r="G20" s="40" t="s">
        <v>80</v>
      </c>
      <c r="H20" s="192" t="e">
        <f t="shared" si="0"/>
        <v>#N/A</v>
      </c>
      <c r="I20" s="193">
        <v>2</v>
      </c>
      <c r="J20" s="25" t="s">
        <v>80</v>
      </c>
      <c r="K20" s="192" t="e">
        <f t="shared" si="1"/>
        <v>#N/A</v>
      </c>
      <c r="L20" s="193">
        <v>1</v>
      </c>
      <c r="M20" s="25" t="s">
        <v>80</v>
      </c>
      <c r="N20" s="271" t="e">
        <f t="shared" si="2"/>
        <v>#N/A</v>
      </c>
      <c r="O20" s="193">
        <v>2</v>
      </c>
      <c r="P20" s="25" t="s">
        <v>80</v>
      </c>
      <c r="Q20" s="192" t="e">
        <f t="shared" si="3"/>
        <v>#N/A</v>
      </c>
      <c r="R20" s="194">
        <v>2</v>
      </c>
      <c r="S20" s="191" t="str">
        <f t="shared" si="4"/>
        <v>-</v>
      </c>
      <c r="T20" s="192">
        <f t="shared" si="5"/>
        <v>10</v>
      </c>
      <c r="U20" s="29" t="str">
        <f t="shared" si="6"/>
        <v>Pendiente</v>
      </c>
      <c r="V20" s="26" t="str">
        <f>IF(COUNTIF(U19:U32,"Pendiente")&gt;0,"Pendiente",IF(U20="No aplica","No aplica",IF(U20&gt;=100%,"Muy Bajo",IF(U20&gt;=80%,"Bajo",IF(U20&gt;=60%,"Medio",IF(U20&gt;=40%,"Alto","Muy Alto"))))))</f>
        <v>Pendiente</v>
      </c>
      <c r="W20" s="196" t="str">
        <f t="shared" si="7"/>
        <v>Pendiente</v>
      </c>
      <c r="X20" s="618"/>
      <c r="Y20" s="29" t="str">
        <f>+W20</f>
        <v>Pendiente</v>
      </c>
      <c r="Z20" s="432">
        <v>1</v>
      </c>
      <c r="AA20" s="603"/>
      <c r="AB20" s="433" t="s">
        <v>255</v>
      </c>
      <c r="AC20" s="186" t="str">
        <f t="shared" si="8"/>
        <v>Pendiente</v>
      </c>
      <c r="AD20" s="391"/>
      <c r="AE20" s="403" t="str">
        <f t="shared" ref="AE20:AE32" si="9">+IF(Y20="No aplica","No aplica",+IF(AND(AC20="En la siguiente columna responda NO",AD20="No"),Y20,IF(AND(AC20="En la siguiente columna responda NO",AD20="Sí"),"Responda No en la pregunta anterior",IF(AD20="SÍ",Y20/2,Y20))))</f>
        <v>Pendiente</v>
      </c>
      <c r="AF20" s="511"/>
      <c r="AG20" s="242"/>
      <c r="AI20" s="118"/>
    </row>
    <row r="21" spans="2:35" ht="171.65" customHeight="1" thickBot="1" x14ac:dyDescent="0.5">
      <c r="B21" s="623"/>
      <c r="C21" s="199">
        <v>2</v>
      </c>
      <c r="D21" s="200" t="s">
        <v>455</v>
      </c>
      <c r="E21" s="434" t="s">
        <v>456</v>
      </c>
      <c r="F21" s="404" t="s">
        <v>65</v>
      </c>
      <c r="G21" s="39" t="s">
        <v>80</v>
      </c>
      <c r="H21" s="204" t="e">
        <f t="shared" si="0"/>
        <v>#N/A</v>
      </c>
      <c r="I21" s="205">
        <v>2</v>
      </c>
      <c r="J21" s="21" t="s">
        <v>80</v>
      </c>
      <c r="K21" s="204" t="e">
        <f t="shared" si="1"/>
        <v>#N/A</v>
      </c>
      <c r="L21" s="205">
        <v>1</v>
      </c>
      <c r="M21" s="21" t="s">
        <v>80</v>
      </c>
      <c r="N21" s="405" t="e">
        <f t="shared" si="2"/>
        <v>#N/A</v>
      </c>
      <c r="O21" s="205">
        <v>2</v>
      </c>
      <c r="P21" s="21" t="s">
        <v>80</v>
      </c>
      <c r="Q21" s="204" t="e">
        <f t="shared" si="3"/>
        <v>#N/A</v>
      </c>
      <c r="R21" s="206">
        <v>2</v>
      </c>
      <c r="S21" s="203" t="str">
        <f t="shared" si="4"/>
        <v>-</v>
      </c>
      <c r="T21" s="204">
        <f t="shared" si="5"/>
        <v>10</v>
      </c>
      <c r="U21" s="41" t="str">
        <f t="shared" si="6"/>
        <v>Pendiente</v>
      </c>
      <c r="V21" s="22" t="str">
        <f>IF(COUNTIF(U19:U32,"Pendiente")&gt;0,"Pendiente",IF(U21="No aplica","No aplica",IF(U21&gt;=100%,"Muy Bajo",IF(U21&gt;=80%,"Bajo",IF(U21&gt;=60%,"Medio",IF(U21&gt;=40%,"Alto","Muy Alto"))))))</f>
        <v>Pendiente</v>
      </c>
      <c r="W21" s="208" t="str">
        <f t="shared" si="7"/>
        <v>Pendiente</v>
      </c>
      <c r="X21" s="406">
        <v>2</v>
      </c>
      <c r="Y21" s="41" t="str">
        <f>+W21</f>
        <v>Pendiente</v>
      </c>
      <c r="Z21" s="410">
        <v>3</v>
      </c>
      <c r="AA21" s="407" t="str">
        <f>IF($G$3="No","No aplica",+IF(COUNTIF(Y21,"Pendiente")&gt;0,"Pendiente",4*Y21*Z21))</f>
        <v>Pendiente</v>
      </c>
      <c r="AB21" s="435" t="s">
        <v>256</v>
      </c>
      <c r="AC21" s="213" t="str">
        <f t="shared" si="8"/>
        <v>Pendiente</v>
      </c>
      <c r="AD21" s="428"/>
      <c r="AE21" s="408" t="str">
        <f t="shared" si="9"/>
        <v>Pendiente</v>
      </c>
      <c r="AF21" s="215" t="str">
        <f>IF($G$3="No","No aplica",+IF(COUNTIF(AA21,"Pendiente")&gt;0,"Pendiente",IF(COUNTIF(AD19:AD32,"")&gt;0,"Pendiente",4*Z21*AE21)))</f>
        <v>Pendiente</v>
      </c>
      <c r="AG21" s="243"/>
      <c r="AI21" s="118"/>
    </row>
    <row r="22" spans="2:35" ht="231" customHeight="1" thickBot="1" x14ac:dyDescent="0.5">
      <c r="B22" s="623"/>
      <c r="C22" s="199">
        <v>3</v>
      </c>
      <c r="D22" s="200" t="s">
        <v>450</v>
      </c>
      <c r="E22" s="217" t="s">
        <v>457</v>
      </c>
      <c r="F22" s="404" t="s">
        <v>68</v>
      </c>
      <c r="G22" s="39" t="s">
        <v>80</v>
      </c>
      <c r="H22" s="204" t="e">
        <f t="shared" si="0"/>
        <v>#N/A</v>
      </c>
      <c r="I22" s="205">
        <v>2</v>
      </c>
      <c r="J22" s="21" t="s">
        <v>80</v>
      </c>
      <c r="K22" s="204" t="e">
        <f t="shared" si="1"/>
        <v>#N/A</v>
      </c>
      <c r="L22" s="205">
        <v>1</v>
      </c>
      <c r="M22" s="21" t="s">
        <v>80</v>
      </c>
      <c r="N22" s="405" t="e">
        <f t="shared" si="2"/>
        <v>#N/A</v>
      </c>
      <c r="O22" s="205">
        <v>2</v>
      </c>
      <c r="P22" s="21" t="s">
        <v>80</v>
      </c>
      <c r="Q22" s="204" t="e">
        <f t="shared" si="3"/>
        <v>#N/A</v>
      </c>
      <c r="R22" s="206">
        <v>2</v>
      </c>
      <c r="S22" s="203" t="str">
        <f t="shared" si="4"/>
        <v>-</v>
      </c>
      <c r="T22" s="204">
        <f t="shared" si="5"/>
        <v>10</v>
      </c>
      <c r="U22" s="41" t="str">
        <f t="shared" si="6"/>
        <v>Pendiente</v>
      </c>
      <c r="V22" s="22" t="str">
        <f>IF(COUNTIF(U19:U32,"Pendiente")&gt;0,"Pendiente",IF(U22="No aplica","No aplica",IF(U22&gt;=100%,"Muy Bajo",IF(U22&gt;=80%,"Bajo",IF(U22&gt;=60%,"Medio",IF(U22&gt;=40%,"Alto","Muy Alto"))))))</f>
        <v>Pendiente</v>
      </c>
      <c r="W22" s="208" t="str">
        <f t="shared" si="7"/>
        <v>Pendiente</v>
      </c>
      <c r="X22" s="406">
        <v>2</v>
      </c>
      <c r="Y22" s="41" t="str">
        <f t="shared" ref="Y22:Y23" si="10">+W22</f>
        <v>Pendiente</v>
      </c>
      <c r="Z22" s="410">
        <v>3</v>
      </c>
      <c r="AA22" s="407" t="str">
        <f>IF($G$3="No","No aplica",+IF(COUNTIF(Y22,"Pendiente")&gt;0,"Pendiente",4*Y22*Z22))</f>
        <v>Pendiente</v>
      </c>
      <c r="AB22" s="435" t="s">
        <v>257</v>
      </c>
      <c r="AC22" s="213" t="str">
        <f t="shared" si="8"/>
        <v>Pendiente</v>
      </c>
      <c r="AD22" s="428"/>
      <c r="AE22" s="408" t="str">
        <f t="shared" si="9"/>
        <v>Pendiente</v>
      </c>
      <c r="AF22" s="215" t="str">
        <f>IF($G$3="No","No aplica",+IF(COUNTIF(AA22,"Pendiente")&gt;0,"Pendiente",IF(COUNTIF(AD19:AD32,"")&gt;0,"Pendiente",4*Z22*AE22)))</f>
        <v>Pendiente</v>
      </c>
      <c r="AG22" s="243"/>
      <c r="AI22" s="118"/>
    </row>
    <row r="23" spans="2:35" ht="196" customHeight="1" x14ac:dyDescent="0.45">
      <c r="B23" s="623"/>
      <c r="C23" s="525">
        <v>4</v>
      </c>
      <c r="D23" s="528" t="s">
        <v>451</v>
      </c>
      <c r="E23" s="221" t="s">
        <v>458</v>
      </c>
      <c r="F23" s="400" t="s">
        <v>71</v>
      </c>
      <c r="G23" s="35" t="s">
        <v>80</v>
      </c>
      <c r="H23" s="157" t="e">
        <f t="shared" si="0"/>
        <v>#N/A</v>
      </c>
      <c r="I23" s="158">
        <v>2</v>
      </c>
      <c r="J23" s="10" t="s">
        <v>80</v>
      </c>
      <c r="K23" s="157" t="e">
        <f t="shared" si="1"/>
        <v>#N/A</v>
      </c>
      <c r="L23" s="158">
        <v>1</v>
      </c>
      <c r="M23" s="10" t="s">
        <v>80</v>
      </c>
      <c r="N23" s="259" t="e">
        <f t="shared" si="2"/>
        <v>#N/A</v>
      </c>
      <c r="O23" s="158">
        <v>2</v>
      </c>
      <c r="P23" s="10" t="s">
        <v>80</v>
      </c>
      <c r="Q23" s="157" t="e">
        <f t="shared" si="3"/>
        <v>#N/A</v>
      </c>
      <c r="R23" s="159">
        <v>2</v>
      </c>
      <c r="S23" s="156" t="str">
        <f t="shared" si="4"/>
        <v>-</v>
      </c>
      <c r="T23" s="157">
        <f t="shared" si="5"/>
        <v>10</v>
      </c>
      <c r="U23" s="18" t="str">
        <f t="shared" si="6"/>
        <v>Pendiente</v>
      </c>
      <c r="V23" s="11" t="str">
        <f>IF(COUNTIF(U19:U32,"Pendiente")&gt;0,"Pendiente",IF(U23="No aplica","No aplica",IF(U23&gt;=100%,"Muy Bajo",IF(U23&gt;=80%,"Bajo",IF(U23&gt;=60%,"Medio",IF(U23&gt;=40%,"Alto","Muy Alto"))))))</f>
        <v>Pendiente</v>
      </c>
      <c r="W23" s="160" t="str">
        <f t="shared" si="7"/>
        <v>Pendiente</v>
      </c>
      <c r="X23" s="617">
        <v>1</v>
      </c>
      <c r="Y23" s="18" t="str">
        <f t="shared" si="10"/>
        <v>Pendiente</v>
      </c>
      <c r="Z23" s="430">
        <v>1</v>
      </c>
      <c r="AA23" s="601" t="str">
        <f>IF($G$3="No","No aplica",+IF(COUNTIF(Y23:Y24,"Pendiente")&gt;0,"Pendiente",AVERAGE(3*Y23*1.5,3*Y24*1.5)))</f>
        <v>Pendiente</v>
      </c>
      <c r="AB23" s="431" t="s">
        <v>226</v>
      </c>
      <c r="AC23" s="163" t="str">
        <f t="shared" si="8"/>
        <v>Pendiente</v>
      </c>
      <c r="AD23" s="392"/>
      <c r="AE23" s="401" t="str">
        <f t="shared" si="9"/>
        <v>Pendiente</v>
      </c>
      <c r="AF23" s="510" t="str">
        <f>IF($G$3="No","No aplica",+IF(AA23="Pendiente","Pendiente",IF(COUNTIF(AD19:AD32,"")&gt;0,"Pendiente",AVERAGE(3*1.5*AE23,3*1.5*AE24))))</f>
        <v>Pendiente</v>
      </c>
      <c r="AG23" s="240"/>
      <c r="AI23" s="118"/>
    </row>
    <row r="24" spans="2:35" ht="218.25" customHeight="1" thickBot="1" x14ac:dyDescent="0.5">
      <c r="B24" s="623"/>
      <c r="C24" s="527"/>
      <c r="D24" s="530"/>
      <c r="E24" s="228" t="s">
        <v>459</v>
      </c>
      <c r="F24" s="436" t="s">
        <v>87</v>
      </c>
      <c r="G24" s="40" t="s">
        <v>80</v>
      </c>
      <c r="H24" s="192" t="e">
        <f t="shared" si="0"/>
        <v>#N/A</v>
      </c>
      <c r="I24" s="193">
        <v>2</v>
      </c>
      <c r="J24" s="25" t="s">
        <v>80</v>
      </c>
      <c r="K24" s="192" t="e">
        <f t="shared" si="1"/>
        <v>#N/A</v>
      </c>
      <c r="L24" s="193">
        <v>1</v>
      </c>
      <c r="M24" s="25" t="s">
        <v>80</v>
      </c>
      <c r="N24" s="271" t="e">
        <f t="shared" si="2"/>
        <v>#N/A</v>
      </c>
      <c r="O24" s="193">
        <v>2</v>
      </c>
      <c r="P24" s="25" t="s">
        <v>80</v>
      </c>
      <c r="Q24" s="192" t="e">
        <f t="shared" si="3"/>
        <v>#N/A</v>
      </c>
      <c r="R24" s="194">
        <v>2</v>
      </c>
      <c r="S24" s="191" t="str">
        <f t="shared" si="4"/>
        <v>-</v>
      </c>
      <c r="T24" s="192">
        <f t="shared" si="5"/>
        <v>10</v>
      </c>
      <c r="U24" s="29" t="str">
        <f t="shared" si="6"/>
        <v>Pendiente</v>
      </c>
      <c r="V24" s="26" t="str">
        <f>IF(COUNTIF(U19:U32,"Pendiente")&gt;0,"Pendiente",IF(U24="No aplica","No aplica",IF(U24&gt;=100%,"Muy Bajo",IF(U24&gt;=80%,"Bajo",IF(U24&gt;=60%,"Medio",IF(U24&gt;=40%,"Alto","Muy Alto"))))))</f>
        <v>Pendiente</v>
      </c>
      <c r="W24" s="196" t="str">
        <f t="shared" si="7"/>
        <v>Pendiente</v>
      </c>
      <c r="X24" s="618"/>
      <c r="Y24" s="29" t="str">
        <f>+W24</f>
        <v>Pendiente</v>
      </c>
      <c r="Z24" s="432">
        <v>1</v>
      </c>
      <c r="AA24" s="603"/>
      <c r="AB24" s="433" t="s">
        <v>207</v>
      </c>
      <c r="AC24" s="186" t="str">
        <f t="shared" si="8"/>
        <v>Pendiente</v>
      </c>
      <c r="AD24" s="391"/>
      <c r="AE24" s="403" t="str">
        <f t="shared" si="9"/>
        <v>Pendiente</v>
      </c>
      <c r="AF24" s="511"/>
      <c r="AG24" s="242"/>
      <c r="AI24" s="118"/>
    </row>
    <row r="25" spans="2:35" ht="184.5" customHeight="1" x14ac:dyDescent="0.45">
      <c r="B25" s="623"/>
      <c r="C25" s="525">
        <v>5</v>
      </c>
      <c r="D25" s="528" t="s">
        <v>95</v>
      </c>
      <c r="E25" s="221" t="s">
        <v>460</v>
      </c>
      <c r="F25" s="400" t="s">
        <v>73</v>
      </c>
      <c r="G25" s="35" t="s">
        <v>80</v>
      </c>
      <c r="H25" s="157" t="e">
        <f t="shared" si="0"/>
        <v>#N/A</v>
      </c>
      <c r="I25" s="158">
        <v>2</v>
      </c>
      <c r="J25" s="10" t="s">
        <v>80</v>
      </c>
      <c r="K25" s="157" t="e">
        <f t="shared" si="1"/>
        <v>#N/A</v>
      </c>
      <c r="L25" s="158">
        <v>1</v>
      </c>
      <c r="M25" s="10" t="s">
        <v>80</v>
      </c>
      <c r="N25" s="259" t="e">
        <f t="shared" si="2"/>
        <v>#N/A</v>
      </c>
      <c r="O25" s="158">
        <v>2</v>
      </c>
      <c r="P25" s="10" t="s">
        <v>80</v>
      </c>
      <c r="Q25" s="157" t="e">
        <f t="shared" si="3"/>
        <v>#N/A</v>
      </c>
      <c r="R25" s="159">
        <v>2</v>
      </c>
      <c r="S25" s="156" t="str">
        <f t="shared" si="4"/>
        <v>-</v>
      </c>
      <c r="T25" s="157">
        <f t="shared" si="5"/>
        <v>10</v>
      </c>
      <c r="U25" s="18" t="str">
        <f t="shared" si="6"/>
        <v>Pendiente</v>
      </c>
      <c r="V25" s="11" t="str">
        <f>IF(COUNTIF(U19:U32,"Pendiente")&gt;0,"Pendiente",IF(U25="No aplica","No aplica",IF(U25&gt;=100%,"Muy Bajo",IF(U25&gt;=80%,"Bajo",IF(U25&gt;=60%,"Medio",IF(U25&gt;=40%,"Alto","Muy Alto"))))))</f>
        <v>Pendiente</v>
      </c>
      <c r="W25" s="160" t="str">
        <f t="shared" si="7"/>
        <v>Pendiente</v>
      </c>
      <c r="X25" s="617">
        <v>1</v>
      </c>
      <c r="Y25" s="18" t="str">
        <f t="shared" ref="Y25" si="11">+W25</f>
        <v>Pendiente</v>
      </c>
      <c r="Z25" s="430">
        <v>1</v>
      </c>
      <c r="AA25" s="601" t="str">
        <f>IF($G$3="No","No aplica",+IF(COUNTIF(Y25:Y26,"Pendiente")&gt;0,"Pendiente",AVERAGE(3*Y25*1.5,3*Y26*1.5)))</f>
        <v>Pendiente</v>
      </c>
      <c r="AB25" s="431" t="s">
        <v>258</v>
      </c>
      <c r="AC25" s="163" t="str">
        <f t="shared" si="8"/>
        <v>Pendiente</v>
      </c>
      <c r="AD25" s="392"/>
      <c r="AE25" s="401" t="str">
        <f t="shared" si="9"/>
        <v>Pendiente</v>
      </c>
      <c r="AF25" s="510" t="str">
        <f>IF($G$3="No","No aplica",+IF(AA25="Pendiente","Pendiente",IF(COUNTIF(AD19:AD32,"")&gt;0,"Pendiente",AVERAGE(3*1.5*AE25,3*1.5*AE26))))</f>
        <v>Pendiente</v>
      </c>
      <c r="AG25" s="240"/>
      <c r="AI25" s="118"/>
    </row>
    <row r="26" spans="2:35" ht="296.5" thickBot="1" x14ac:dyDescent="0.5">
      <c r="B26" s="623"/>
      <c r="C26" s="527"/>
      <c r="D26" s="530"/>
      <c r="E26" s="228" t="s">
        <v>461</v>
      </c>
      <c r="F26" s="436" t="s">
        <v>74</v>
      </c>
      <c r="G26" s="40" t="s">
        <v>80</v>
      </c>
      <c r="H26" s="192" t="e">
        <f t="shared" si="0"/>
        <v>#N/A</v>
      </c>
      <c r="I26" s="193">
        <v>2</v>
      </c>
      <c r="J26" s="25" t="s">
        <v>80</v>
      </c>
      <c r="K26" s="192" t="e">
        <f t="shared" si="1"/>
        <v>#N/A</v>
      </c>
      <c r="L26" s="193">
        <v>1</v>
      </c>
      <c r="M26" s="25" t="s">
        <v>80</v>
      </c>
      <c r="N26" s="271" t="e">
        <f t="shared" si="2"/>
        <v>#N/A</v>
      </c>
      <c r="O26" s="193">
        <v>2</v>
      </c>
      <c r="P26" s="25" t="s">
        <v>80</v>
      </c>
      <c r="Q26" s="192" t="e">
        <f t="shared" si="3"/>
        <v>#N/A</v>
      </c>
      <c r="R26" s="194">
        <v>2</v>
      </c>
      <c r="S26" s="191" t="str">
        <f t="shared" si="4"/>
        <v>-</v>
      </c>
      <c r="T26" s="192">
        <f t="shared" si="5"/>
        <v>10</v>
      </c>
      <c r="U26" s="29" t="str">
        <f t="shared" si="6"/>
        <v>Pendiente</v>
      </c>
      <c r="V26" s="26" t="str">
        <f>IF(COUNTIF(U19:U32,"Pendiente")&gt;0,"Pendiente",IF(U26="No aplica","No aplica",IF(U26&gt;=100%,"Muy Bajo",IF(U26&gt;=80%,"Bajo",IF(U26&gt;=60%,"Medio",IF(U26&gt;=40%,"Alto","Muy Alto"))))))</f>
        <v>Pendiente</v>
      </c>
      <c r="W26" s="196" t="str">
        <f t="shared" si="7"/>
        <v>Pendiente</v>
      </c>
      <c r="X26" s="618"/>
      <c r="Y26" s="29" t="str">
        <f t="shared" ref="Y26:Y32" si="12">+W26</f>
        <v>Pendiente</v>
      </c>
      <c r="Z26" s="432">
        <v>1</v>
      </c>
      <c r="AA26" s="603"/>
      <c r="AB26" s="433" t="s">
        <v>259</v>
      </c>
      <c r="AC26" s="186" t="str">
        <f t="shared" si="8"/>
        <v>Pendiente</v>
      </c>
      <c r="AD26" s="391"/>
      <c r="AE26" s="403" t="str">
        <f t="shared" si="9"/>
        <v>Pendiente</v>
      </c>
      <c r="AF26" s="511"/>
      <c r="AG26" s="242"/>
    </row>
    <row r="27" spans="2:35" ht="151.5" customHeight="1" x14ac:dyDescent="0.45">
      <c r="B27" s="623"/>
      <c r="C27" s="525">
        <v>6</v>
      </c>
      <c r="D27" s="559" t="s">
        <v>452</v>
      </c>
      <c r="E27" s="437" t="s">
        <v>462</v>
      </c>
      <c r="F27" s="400" t="s">
        <v>77</v>
      </c>
      <c r="G27" s="35" t="s">
        <v>80</v>
      </c>
      <c r="H27" s="157" t="e">
        <f t="shared" si="0"/>
        <v>#N/A</v>
      </c>
      <c r="I27" s="158">
        <v>2</v>
      </c>
      <c r="J27" s="10" t="s">
        <v>80</v>
      </c>
      <c r="K27" s="157" t="e">
        <f t="shared" si="1"/>
        <v>#N/A</v>
      </c>
      <c r="L27" s="158">
        <v>1</v>
      </c>
      <c r="M27" s="10" t="s">
        <v>80</v>
      </c>
      <c r="N27" s="259" t="e">
        <f t="shared" si="2"/>
        <v>#N/A</v>
      </c>
      <c r="O27" s="158">
        <v>2</v>
      </c>
      <c r="P27" s="10" t="s">
        <v>80</v>
      </c>
      <c r="Q27" s="157" t="e">
        <f t="shared" si="3"/>
        <v>#N/A</v>
      </c>
      <c r="R27" s="159">
        <v>2</v>
      </c>
      <c r="S27" s="156" t="str">
        <f t="shared" si="4"/>
        <v>-</v>
      </c>
      <c r="T27" s="157">
        <f t="shared" si="5"/>
        <v>10</v>
      </c>
      <c r="U27" s="18" t="str">
        <f t="shared" si="6"/>
        <v>Pendiente</v>
      </c>
      <c r="V27" s="11" t="str">
        <f>IF(COUNTIF(U19:U32,"Pendiente")&gt;0,"Pendiente",IF(U27="No aplica","No aplica",IF(U27&gt;=100%,"Muy Bajo",IF(U27&gt;=80%,"Bajo",IF(U27&gt;=60%,"Medio",IF(U27&gt;=40%,"Alto","Muy Alto"))))))</f>
        <v>Pendiente</v>
      </c>
      <c r="W27" s="160" t="str">
        <f t="shared" si="7"/>
        <v>Pendiente</v>
      </c>
      <c r="X27" s="625">
        <v>2</v>
      </c>
      <c r="Y27" s="12" t="str">
        <f t="shared" si="12"/>
        <v>Pendiente</v>
      </c>
      <c r="Z27" s="438">
        <v>1</v>
      </c>
      <c r="AA27" s="601" t="str">
        <f>IF($G$3="No","No aplica",+IF(COUNTIF(Y27:Y29,"Pendiente")&gt;0,"Pendiente",AVERAGE(4*Y27*1.5,4*Y28*Z28,4*Y29*1.5)))</f>
        <v>Pendiente</v>
      </c>
      <c r="AB27" s="431" t="s">
        <v>260</v>
      </c>
      <c r="AC27" s="163" t="str">
        <f t="shared" si="8"/>
        <v>Pendiente</v>
      </c>
      <c r="AD27" s="392"/>
      <c r="AE27" s="401" t="str">
        <f t="shared" si="9"/>
        <v>Pendiente</v>
      </c>
      <c r="AF27" s="510" t="str">
        <f>IF($G$3="No","No aplica",+IF(AA27="Pendiente","Pendiente",IF(COUNTIF(AD19:AD32,"")&gt;0,"Pendiente",AVERAGE(4*AE27*1.5,4*AE28*Z28,4*AE29*1.5))))</f>
        <v>Pendiente</v>
      </c>
      <c r="AG27" s="240"/>
    </row>
    <row r="28" spans="2:35" ht="125.5" customHeight="1" x14ac:dyDescent="0.45">
      <c r="B28" s="623"/>
      <c r="C28" s="526"/>
      <c r="D28" s="621"/>
      <c r="E28" s="439" t="s">
        <v>463</v>
      </c>
      <c r="F28" s="418" t="s">
        <v>96</v>
      </c>
      <c r="G28" s="36" t="s">
        <v>80</v>
      </c>
      <c r="H28" s="124" t="e">
        <f t="shared" si="0"/>
        <v>#N/A</v>
      </c>
      <c r="I28" s="169">
        <v>2</v>
      </c>
      <c r="J28" s="9" t="s">
        <v>80</v>
      </c>
      <c r="K28" s="124" t="e">
        <f t="shared" si="1"/>
        <v>#N/A</v>
      </c>
      <c r="L28" s="169">
        <v>1</v>
      </c>
      <c r="M28" s="9" t="s">
        <v>80</v>
      </c>
      <c r="N28" s="264" t="e">
        <f t="shared" si="2"/>
        <v>#N/A</v>
      </c>
      <c r="O28" s="169">
        <v>2</v>
      </c>
      <c r="P28" s="9" t="s">
        <v>80</v>
      </c>
      <c r="Q28" s="124" t="e">
        <f t="shared" si="3"/>
        <v>#N/A</v>
      </c>
      <c r="R28" s="170">
        <v>2</v>
      </c>
      <c r="S28" s="168" t="str">
        <f t="shared" si="4"/>
        <v>-</v>
      </c>
      <c r="T28" s="124">
        <f t="shared" si="5"/>
        <v>10</v>
      </c>
      <c r="U28" s="28" t="str">
        <f t="shared" si="6"/>
        <v>Pendiente</v>
      </c>
      <c r="V28" s="13" t="str">
        <f>IF(COUNTIF(U19:U32,"Pendiente")&gt;0,"Pendiente",IF(U28="No aplica","No aplica",IF(U28&gt;=100%,"Muy Bajo",IF(U28&gt;=80%,"Bajo",IF(U28&gt;=60%,"Medio",IF(U28&gt;=40%,"Alto","Muy Alto"))))))</f>
        <v>Pendiente</v>
      </c>
      <c r="W28" s="171" t="str">
        <f t="shared" si="7"/>
        <v>Pendiente</v>
      </c>
      <c r="X28" s="626"/>
      <c r="Y28" s="14" t="str">
        <f t="shared" si="12"/>
        <v>Pendiente</v>
      </c>
      <c r="Z28" s="305">
        <v>3</v>
      </c>
      <c r="AA28" s="602"/>
      <c r="AB28" s="440" t="s">
        <v>261</v>
      </c>
      <c r="AC28" s="174" t="str">
        <f t="shared" si="8"/>
        <v>Pendiente</v>
      </c>
      <c r="AD28" s="390"/>
      <c r="AE28" s="419" t="str">
        <f t="shared" si="9"/>
        <v>Pendiente</v>
      </c>
      <c r="AF28" s="512"/>
      <c r="AG28" s="241"/>
    </row>
    <row r="29" spans="2:35" ht="145" customHeight="1" thickBot="1" x14ac:dyDescent="0.5">
      <c r="B29" s="623"/>
      <c r="C29" s="527"/>
      <c r="D29" s="530"/>
      <c r="E29" s="228" t="s">
        <v>464</v>
      </c>
      <c r="F29" s="402" t="s">
        <v>149</v>
      </c>
      <c r="G29" s="40" t="s">
        <v>80</v>
      </c>
      <c r="H29" s="192" t="e">
        <f t="shared" si="0"/>
        <v>#N/A</v>
      </c>
      <c r="I29" s="193">
        <v>2</v>
      </c>
      <c r="J29" s="25" t="s">
        <v>80</v>
      </c>
      <c r="K29" s="192" t="e">
        <f t="shared" si="1"/>
        <v>#N/A</v>
      </c>
      <c r="L29" s="193">
        <v>1</v>
      </c>
      <c r="M29" s="25" t="s">
        <v>80</v>
      </c>
      <c r="N29" s="271" t="e">
        <f t="shared" si="2"/>
        <v>#N/A</v>
      </c>
      <c r="O29" s="193">
        <v>2</v>
      </c>
      <c r="P29" s="25" t="s">
        <v>80</v>
      </c>
      <c r="Q29" s="192" t="e">
        <f t="shared" si="3"/>
        <v>#N/A</v>
      </c>
      <c r="R29" s="194">
        <v>2</v>
      </c>
      <c r="S29" s="191" t="str">
        <f t="shared" si="4"/>
        <v>-</v>
      </c>
      <c r="T29" s="192">
        <f t="shared" si="5"/>
        <v>10</v>
      </c>
      <c r="U29" s="29" t="str">
        <f t="shared" si="6"/>
        <v>Pendiente</v>
      </c>
      <c r="V29" s="26" t="str">
        <f>IF(COUNTIF(U19:U32,"Pendiente")&gt;0,"Pendiente",IF(U29="No aplica","No aplica",IF(U29&gt;=100%,"Muy Bajo",IF(U29&gt;=80%,"Bajo",IF(U29&gt;=60%,"Medio",IF(U29&gt;=40%,"Alto","Muy Alto"))))))</f>
        <v>Pendiente</v>
      </c>
      <c r="W29" s="196" t="str">
        <f t="shared" si="7"/>
        <v>Pendiente</v>
      </c>
      <c r="X29" s="627"/>
      <c r="Y29" s="27" t="str">
        <f t="shared" si="12"/>
        <v>Pendiente</v>
      </c>
      <c r="Z29" s="441">
        <v>1</v>
      </c>
      <c r="AA29" s="603"/>
      <c r="AB29" s="433" t="s">
        <v>262</v>
      </c>
      <c r="AC29" s="186" t="str">
        <f t="shared" si="8"/>
        <v>Pendiente</v>
      </c>
      <c r="AD29" s="391"/>
      <c r="AE29" s="403" t="str">
        <f t="shared" si="9"/>
        <v>Pendiente</v>
      </c>
      <c r="AF29" s="511"/>
      <c r="AG29" s="242"/>
    </row>
    <row r="30" spans="2:35" ht="240.5" x14ac:dyDescent="0.45">
      <c r="B30" s="623"/>
      <c r="C30" s="525">
        <v>7</v>
      </c>
      <c r="D30" s="528" t="s">
        <v>222</v>
      </c>
      <c r="E30" s="221" t="s">
        <v>465</v>
      </c>
      <c r="F30" s="400" t="s">
        <v>78</v>
      </c>
      <c r="G30" s="35" t="s">
        <v>80</v>
      </c>
      <c r="H30" s="157" t="e">
        <f t="shared" si="0"/>
        <v>#N/A</v>
      </c>
      <c r="I30" s="158">
        <v>2</v>
      </c>
      <c r="J30" s="10" t="s">
        <v>80</v>
      </c>
      <c r="K30" s="157" t="e">
        <f t="shared" si="1"/>
        <v>#N/A</v>
      </c>
      <c r="L30" s="158">
        <v>1</v>
      </c>
      <c r="M30" s="10" t="s">
        <v>80</v>
      </c>
      <c r="N30" s="259" t="e">
        <f t="shared" si="2"/>
        <v>#N/A</v>
      </c>
      <c r="O30" s="158">
        <v>2</v>
      </c>
      <c r="P30" s="10" t="s">
        <v>80</v>
      </c>
      <c r="Q30" s="157" t="e">
        <f t="shared" si="3"/>
        <v>#N/A</v>
      </c>
      <c r="R30" s="159">
        <v>2</v>
      </c>
      <c r="S30" s="156" t="str">
        <f t="shared" si="4"/>
        <v>-</v>
      </c>
      <c r="T30" s="157">
        <f t="shared" si="5"/>
        <v>10</v>
      </c>
      <c r="U30" s="18" t="str">
        <f t="shared" si="6"/>
        <v>Pendiente</v>
      </c>
      <c r="V30" s="11" t="str">
        <f>IF(COUNTIF(U19:U32,"Pendiente")&gt;0,"Pendiente",IF(U30="No aplica","No aplica",IF(U30&gt;=100%,"Muy Bajo",IF(U30&gt;=80%,"Bajo",IF(U30&gt;=60%,"Medio",IF(U30&gt;=40%,"Alto","Muy Alto"))))))</f>
        <v>Pendiente</v>
      </c>
      <c r="W30" s="160" t="str">
        <f t="shared" si="7"/>
        <v>Pendiente</v>
      </c>
      <c r="X30" s="589">
        <v>1</v>
      </c>
      <c r="Y30" s="12" t="str">
        <f t="shared" si="12"/>
        <v>Pendiente</v>
      </c>
      <c r="Z30" s="430">
        <v>1</v>
      </c>
      <c r="AA30" s="601" t="str">
        <f>IF($G$3="No","No aplica",+IF(COUNTIF(Y30:Y32,"Pendiente")&gt;0,"Pendiente",AVERAGE(3*Y30*1.5,3*Y31*1.5,3*Y32*1.5)))</f>
        <v>Pendiente</v>
      </c>
      <c r="AB30" s="431" t="s">
        <v>263</v>
      </c>
      <c r="AC30" s="163" t="str">
        <f t="shared" si="8"/>
        <v>Pendiente</v>
      </c>
      <c r="AD30" s="392"/>
      <c r="AE30" s="401" t="str">
        <f t="shared" si="9"/>
        <v>Pendiente</v>
      </c>
      <c r="AF30" s="510" t="str">
        <f>IF($G$3="No","No aplica",+IF(AA30="Pendiente","Pendiente",IF(COUNTIF(AD19:AD32,"")&gt;0,"Pendiente",AVERAGE(3*AE30*1.5,3*AE31*1.5,3*AE32*1.5))))</f>
        <v>Pendiente</v>
      </c>
      <c r="AG30" s="240"/>
    </row>
    <row r="31" spans="2:35" ht="173.15" customHeight="1" x14ac:dyDescent="0.45">
      <c r="B31" s="623"/>
      <c r="C31" s="526"/>
      <c r="D31" s="621"/>
      <c r="E31" s="442" t="s">
        <v>466</v>
      </c>
      <c r="F31" s="418" t="s">
        <v>79</v>
      </c>
      <c r="G31" s="36" t="s">
        <v>80</v>
      </c>
      <c r="H31" s="124" t="e">
        <f t="shared" si="0"/>
        <v>#N/A</v>
      </c>
      <c r="I31" s="169">
        <v>2</v>
      </c>
      <c r="J31" s="9" t="s">
        <v>80</v>
      </c>
      <c r="K31" s="124" t="e">
        <f t="shared" si="1"/>
        <v>#N/A</v>
      </c>
      <c r="L31" s="169">
        <v>1</v>
      </c>
      <c r="M31" s="9" t="s">
        <v>80</v>
      </c>
      <c r="N31" s="264" t="e">
        <f t="shared" si="2"/>
        <v>#N/A</v>
      </c>
      <c r="O31" s="169">
        <v>2</v>
      </c>
      <c r="P31" s="9" t="s">
        <v>80</v>
      </c>
      <c r="Q31" s="124" t="e">
        <f t="shared" si="3"/>
        <v>#N/A</v>
      </c>
      <c r="R31" s="170">
        <v>2</v>
      </c>
      <c r="S31" s="168" t="str">
        <f t="shared" si="4"/>
        <v>-</v>
      </c>
      <c r="T31" s="124">
        <f t="shared" si="5"/>
        <v>10</v>
      </c>
      <c r="U31" s="28" t="str">
        <f t="shared" si="6"/>
        <v>Pendiente</v>
      </c>
      <c r="V31" s="13" t="str">
        <f>IF(COUNTIF(U19:U32,"Pendiente")&gt;0,"Pendiente",IF(U31="No aplica","No aplica",IF(U31&gt;=100%,"Muy Bajo",IF(U31&gt;=80%,"Bajo",IF(U31&gt;=60%,"Medio",IF(U31&gt;=40%,"Alto","Muy Alto"))))))</f>
        <v>Pendiente</v>
      </c>
      <c r="W31" s="171" t="str">
        <f t="shared" si="7"/>
        <v>Pendiente</v>
      </c>
      <c r="X31" s="587"/>
      <c r="Y31" s="14" t="str">
        <f t="shared" si="12"/>
        <v>Pendiente</v>
      </c>
      <c r="Z31" s="443">
        <v>1</v>
      </c>
      <c r="AA31" s="602"/>
      <c r="AB31" s="440" t="s">
        <v>264</v>
      </c>
      <c r="AC31" s="174" t="str">
        <f t="shared" si="8"/>
        <v>Pendiente</v>
      </c>
      <c r="AD31" s="390"/>
      <c r="AE31" s="419" t="str">
        <f t="shared" si="9"/>
        <v>Pendiente</v>
      </c>
      <c r="AF31" s="512"/>
      <c r="AG31" s="241"/>
    </row>
    <row r="32" spans="2:35" ht="259.5" thickBot="1" x14ac:dyDescent="0.5">
      <c r="B32" s="624"/>
      <c r="C32" s="527"/>
      <c r="D32" s="530"/>
      <c r="E32" s="228" t="s">
        <v>467</v>
      </c>
      <c r="F32" s="402" t="s">
        <v>98</v>
      </c>
      <c r="G32" s="40" t="s">
        <v>80</v>
      </c>
      <c r="H32" s="192" t="e">
        <f t="shared" si="0"/>
        <v>#N/A</v>
      </c>
      <c r="I32" s="193">
        <v>2</v>
      </c>
      <c r="J32" s="25" t="s">
        <v>80</v>
      </c>
      <c r="K32" s="192" t="e">
        <f t="shared" si="1"/>
        <v>#N/A</v>
      </c>
      <c r="L32" s="193">
        <v>1</v>
      </c>
      <c r="M32" s="25" t="s">
        <v>80</v>
      </c>
      <c r="N32" s="271" t="e">
        <f t="shared" si="2"/>
        <v>#N/A</v>
      </c>
      <c r="O32" s="193">
        <v>2</v>
      </c>
      <c r="P32" s="25" t="s">
        <v>80</v>
      </c>
      <c r="Q32" s="192" t="e">
        <f t="shared" si="3"/>
        <v>#N/A</v>
      </c>
      <c r="R32" s="194">
        <v>2</v>
      </c>
      <c r="S32" s="191" t="str">
        <f t="shared" si="4"/>
        <v>-</v>
      </c>
      <c r="T32" s="192">
        <f t="shared" si="5"/>
        <v>10</v>
      </c>
      <c r="U32" s="29" t="str">
        <f t="shared" si="6"/>
        <v>Pendiente</v>
      </c>
      <c r="V32" s="26" t="str">
        <f>IF(COUNTIF(U19:U32,"Pendiente")&gt;0,"Pendiente",IF(U32="No aplica","No aplica",IF(U32&gt;=100%,"Muy Bajo",IF(U32&gt;=80%,"Bajo",IF(U32&gt;=60%,"Medio",IF(U32&gt;=40%,"Alto","Muy Alto"))))))</f>
        <v>Pendiente</v>
      </c>
      <c r="W32" s="196" t="str">
        <f t="shared" si="7"/>
        <v>Pendiente</v>
      </c>
      <c r="X32" s="588"/>
      <c r="Y32" s="27" t="str">
        <f t="shared" si="12"/>
        <v>Pendiente</v>
      </c>
      <c r="Z32" s="432">
        <v>1</v>
      </c>
      <c r="AA32" s="603"/>
      <c r="AB32" s="433" t="s">
        <v>244</v>
      </c>
      <c r="AC32" s="186" t="str">
        <f t="shared" si="8"/>
        <v>Pendiente</v>
      </c>
      <c r="AD32" s="391"/>
      <c r="AE32" s="403" t="str">
        <f t="shared" si="9"/>
        <v>Pendiente</v>
      </c>
      <c r="AF32" s="511"/>
      <c r="AG32" s="242"/>
    </row>
    <row r="33" spans="1:32" hidden="1" x14ac:dyDescent="0.45">
      <c r="F33" s="593"/>
      <c r="G33" s="555"/>
      <c r="H33" s="555"/>
      <c r="I33" s="555"/>
      <c r="J33" s="555"/>
      <c r="K33" s="555"/>
      <c r="L33" s="555"/>
      <c r="M33" s="555"/>
      <c r="N33" s="555"/>
      <c r="O33" s="555"/>
      <c r="P33" s="555"/>
      <c r="Q33" s="555"/>
      <c r="R33" s="555"/>
      <c r="S33" s="555"/>
      <c r="T33" s="555"/>
      <c r="U33" s="555"/>
      <c r="V33" s="555"/>
      <c r="W33" s="555"/>
      <c r="X33" s="555"/>
      <c r="Y33" s="555"/>
      <c r="Z33" s="555"/>
      <c r="AA33" s="555"/>
      <c r="AB33" s="555"/>
      <c r="AC33" s="555"/>
      <c r="AD33" s="555"/>
      <c r="AE33" s="594"/>
      <c r="AF33" s="595" t="str">
        <f>IF($G$3="No","No aplica",IF(COUNTIF(AF19:AF32,"Pendiente")&gt;0,"Pendiente",IF(AND(V21="Muy Alto",AD21="No",V22="Muy Alto",AD22="No",V28="Muy Alto",AD28="No"),90%+SUM(AF19:AF20,AF23:AF26,AF30:AF32)*0.9/(45-10.8-10.8-7.2),IF(AND(V21="Muy Alto",AD21="No",V22="Muy Alto",AD22="No"),60%+SUM(AF19:AF20,AF23:AF32)*0.9/(45-10.8-10.8),IF(AND(V21="Muy Alto",AD21="No",V28="Muy Alto",AD28="No"),60%+SUM(AF19:AF20,AF22:AF26,AF30:AF32)*0.9/(45-10.8-7.2),IF(AND(V22="Muy Alto",AD22="No",V28="Muy Alto",AD28="No"),60%+SUM(AF19:AF21,AF23:AF26,AF30:AF32)*0.9/(45-10.8-7.2),IF(AND(V21="Muy Alto",AD21="No"),30%+SUM(AF19:AF20,AF22:AF32)*0.9/(45-10.8),IF(AND(V22="Muy Alto",AD22="No"),30%+SUM(AF19:AF21,AF23:AF32)*0.9/(45-10.8),IF(AND(V28="Muy Alto",AD28="No"),30%+SUM(AF19:AF26,AF30:AF32)*0.9/(45-7.2),SUM(AF19:AF32)*0.9/45)))))))))</f>
        <v>Pendiente</v>
      </c>
    </row>
    <row r="34" spans="1:32" ht="19" hidden="1" thickBot="1" x14ac:dyDescent="0.5">
      <c r="F34" s="550"/>
      <c r="G34" s="551"/>
      <c r="H34" s="551"/>
      <c r="I34" s="551"/>
      <c r="J34" s="551"/>
      <c r="K34" s="551"/>
      <c r="L34" s="551"/>
      <c r="M34" s="551"/>
      <c r="N34" s="551"/>
      <c r="O34" s="551"/>
      <c r="P34" s="551"/>
      <c r="Q34" s="551"/>
      <c r="R34" s="551"/>
      <c r="S34" s="551"/>
      <c r="T34" s="551"/>
      <c r="U34" s="551"/>
      <c r="V34" s="551"/>
      <c r="W34" s="551"/>
      <c r="X34" s="551"/>
      <c r="Y34" s="551"/>
      <c r="Z34" s="551"/>
      <c r="AA34" s="551"/>
      <c r="AB34" s="551"/>
      <c r="AC34" s="551"/>
      <c r="AD34" s="551"/>
      <c r="AE34" s="552"/>
      <c r="AF34" s="596"/>
    </row>
    <row r="35" spans="1:32" x14ac:dyDescent="0.45">
      <c r="F35" s="593" t="s">
        <v>448</v>
      </c>
      <c r="G35" s="555"/>
      <c r="H35" s="555"/>
      <c r="I35" s="555"/>
      <c r="J35" s="555"/>
      <c r="K35" s="555"/>
      <c r="L35" s="555"/>
      <c r="M35" s="555"/>
      <c r="N35" s="555"/>
      <c r="O35" s="555"/>
      <c r="P35" s="555"/>
      <c r="Q35" s="555"/>
      <c r="R35" s="555"/>
      <c r="S35" s="555"/>
      <c r="T35" s="555"/>
      <c r="U35" s="555"/>
      <c r="V35" s="555"/>
      <c r="W35" s="555"/>
      <c r="X35" s="555"/>
      <c r="Y35" s="555"/>
      <c r="Z35" s="555"/>
      <c r="AA35" s="555"/>
      <c r="AB35" s="555"/>
      <c r="AC35" s="555"/>
      <c r="AD35" s="555"/>
      <c r="AE35" s="594"/>
      <c r="AF35" s="595" t="str">
        <f>IF($G$3="No","No aplica",IF(COUNTIF(AF19:AF32,"Pendiente")&gt;0,"Pendiente",IF(AF33&gt;=90%,90%,AF33)))</f>
        <v>Pendiente</v>
      </c>
    </row>
    <row r="36" spans="1:32" ht="19" thickBot="1" x14ac:dyDescent="0.5">
      <c r="E36" s="117"/>
      <c r="F36" s="550"/>
      <c r="G36" s="551"/>
      <c r="H36" s="551"/>
      <c r="I36" s="551"/>
      <c r="J36" s="551"/>
      <c r="K36" s="551"/>
      <c r="L36" s="551"/>
      <c r="M36" s="551"/>
      <c r="N36" s="551"/>
      <c r="O36" s="551"/>
      <c r="P36" s="551"/>
      <c r="Q36" s="551"/>
      <c r="R36" s="551"/>
      <c r="S36" s="551"/>
      <c r="T36" s="551"/>
      <c r="U36" s="551"/>
      <c r="V36" s="551"/>
      <c r="W36" s="551"/>
      <c r="X36" s="551"/>
      <c r="Y36" s="551"/>
      <c r="Z36" s="551"/>
      <c r="AA36" s="551"/>
      <c r="AB36" s="551"/>
      <c r="AC36" s="551"/>
      <c r="AD36" s="551"/>
      <c r="AE36" s="552"/>
      <c r="AF36" s="596"/>
    </row>
    <row r="40" spans="1:32" x14ac:dyDescent="0.45">
      <c r="E40" s="117"/>
    </row>
    <row r="42" spans="1:32" x14ac:dyDescent="0.45">
      <c r="A42" s="497"/>
      <c r="B42" s="497"/>
      <c r="C42" s="498"/>
      <c r="D42" s="498"/>
      <c r="E42" s="497"/>
    </row>
    <row r="43" spans="1:32" x14ac:dyDescent="0.45">
      <c r="A43" s="497"/>
      <c r="B43" s="497"/>
      <c r="C43" s="498"/>
      <c r="D43" s="498"/>
      <c r="E43" s="497"/>
    </row>
    <row r="44" spans="1:32" x14ac:dyDescent="0.45">
      <c r="A44" s="497"/>
      <c r="B44" s="497"/>
      <c r="C44" s="498"/>
      <c r="D44" s="498"/>
      <c r="E44" s="497"/>
    </row>
    <row r="45" spans="1:32" x14ac:dyDescent="0.45">
      <c r="A45" s="497"/>
      <c r="B45" s="499" t="s">
        <v>80</v>
      </c>
      <c r="C45" s="498"/>
      <c r="D45" s="498"/>
      <c r="E45" s="497"/>
    </row>
    <row r="46" spans="1:32" x14ac:dyDescent="0.45">
      <c r="A46" s="497"/>
      <c r="B46" s="499" t="s">
        <v>44</v>
      </c>
      <c r="C46" s="498"/>
      <c r="D46" s="498"/>
      <c r="E46" s="497"/>
    </row>
    <row r="47" spans="1:32" x14ac:dyDescent="0.45">
      <c r="A47" s="497"/>
      <c r="B47" s="499" t="s">
        <v>64</v>
      </c>
      <c r="C47" s="498"/>
      <c r="D47" s="498"/>
      <c r="E47" s="497"/>
    </row>
    <row r="48" spans="1:32" x14ac:dyDescent="0.45">
      <c r="A48" s="497"/>
      <c r="B48" s="497"/>
      <c r="C48" s="498"/>
      <c r="D48" s="498"/>
      <c r="E48" s="497"/>
    </row>
    <row r="49" spans="1:30" x14ac:dyDescent="0.45">
      <c r="A49" s="497"/>
      <c r="B49" s="499" t="s">
        <v>80</v>
      </c>
      <c r="C49" s="498"/>
      <c r="D49" s="498"/>
      <c r="E49" s="497"/>
    </row>
    <row r="50" spans="1:30" x14ac:dyDescent="0.45">
      <c r="A50" s="497"/>
      <c r="B50" s="499" t="s">
        <v>44</v>
      </c>
      <c r="C50" s="498">
        <v>1</v>
      </c>
      <c r="D50" s="499" t="s">
        <v>46</v>
      </c>
      <c r="E50" s="497"/>
      <c r="G50" s="127"/>
      <c r="AD50" s="115"/>
    </row>
    <row r="51" spans="1:30" x14ac:dyDescent="0.45">
      <c r="A51" s="497"/>
      <c r="B51" s="499" t="s">
        <v>64</v>
      </c>
      <c r="C51" s="498">
        <v>3</v>
      </c>
      <c r="D51" s="498"/>
      <c r="E51" s="497"/>
      <c r="AD51" s="115"/>
    </row>
    <row r="52" spans="1:30" x14ac:dyDescent="0.45">
      <c r="A52" s="497"/>
      <c r="B52" s="497"/>
      <c r="C52" s="498"/>
      <c r="D52" s="498"/>
      <c r="E52" s="497"/>
      <c r="AD52" s="115"/>
    </row>
    <row r="53" spans="1:30" x14ac:dyDescent="0.45">
      <c r="A53" s="497"/>
      <c r="B53" s="499" t="s">
        <v>80</v>
      </c>
      <c r="C53" s="498"/>
      <c r="D53" s="498"/>
      <c r="E53" s="497"/>
    </row>
    <row r="54" spans="1:30" x14ac:dyDescent="0.45">
      <c r="A54" s="497"/>
      <c r="B54" s="499" t="s">
        <v>44</v>
      </c>
      <c r="C54" s="498">
        <v>2</v>
      </c>
      <c r="D54" s="499" t="s">
        <v>81</v>
      </c>
      <c r="E54" s="497"/>
    </row>
    <row r="55" spans="1:30" x14ac:dyDescent="0.45">
      <c r="A55" s="497"/>
      <c r="B55" s="499" t="s">
        <v>64</v>
      </c>
      <c r="C55" s="498">
        <v>0</v>
      </c>
      <c r="D55" s="498"/>
      <c r="E55" s="497"/>
    </row>
    <row r="56" spans="1:30" x14ac:dyDescent="0.45">
      <c r="A56" s="497"/>
      <c r="B56" s="497"/>
      <c r="C56" s="498"/>
      <c r="D56" s="498"/>
      <c r="E56" s="497"/>
    </row>
    <row r="57" spans="1:30" x14ac:dyDescent="0.45">
      <c r="A57" s="497"/>
      <c r="B57" s="499" t="s">
        <v>80</v>
      </c>
      <c r="C57" s="498"/>
      <c r="D57" s="498"/>
      <c r="E57" s="497"/>
    </row>
    <row r="58" spans="1:30" x14ac:dyDescent="0.45">
      <c r="A58" s="497"/>
      <c r="B58" s="499" t="s">
        <v>44</v>
      </c>
      <c r="C58" s="498">
        <v>0</v>
      </c>
      <c r="D58" s="499" t="s">
        <v>50</v>
      </c>
      <c r="E58" s="497"/>
    </row>
    <row r="59" spans="1:30" x14ac:dyDescent="0.45">
      <c r="A59" s="497"/>
      <c r="B59" s="499" t="s">
        <v>64</v>
      </c>
      <c r="C59" s="498">
        <v>1</v>
      </c>
      <c r="D59" s="498"/>
      <c r="E59" s="497"/>
    </row>
    <row r="60" spans="1:30" x14ac:dyDescent="0.45">
      <c r="A60" s="497"/>
      <c r="B60" s="497"/>
      <c r="C60" s="498"/>
      <c r="D60" s="498"/>
      <c r="E60" s="497"/>
    </row>
    <row r="61" spans="1:30" x14ac:dyDescent="0.45">
      <c r="A61" s="497"/>
      <c r="B61" s="497"/>
      <c r="C61" s="498"/>
      <c r="D61" s="498"/>
      <c r="E61" s="497"/>
    </row>
    <row r="62" spans="1:30" x14ac:dyDescent="0.45">
      <c r="A62" s="497"/>
      <c r="B62" s="499" t="s">
        <v>80</v>
      </c>
      <c r="C62" s="498"/>
      <c r="D62" s="498"/>
      <c r="E62" s="497"/>
    </row>
    <row r="63" spans="1:30" x14ac:dyDescent="0.45">
      <c r="A63" s="497"/>
      <c r="B63" s="499" t="s">
        <v>44</v>
      </c>
      <c r="C63" s="498">
        <v>0</v>
      </c>
      <c r="D63" s="499" t="s">
        <v>51</v>
      </c>
      <c r="E63" s="497"/>
    </row>
    <row r="64" spans="1:30" x14ac:dyDescent="0.45">
      <c r="A64" s="497"/>
      <c r="B64" s="499" t="s">
        <v>64</v>
      </c>
      <c r="C64" s="498">
        <v>2</v>
      </c>
      <c r="D64" s="498"/>
      <c r="E64" s="497"/>
    </row>
    <row r="65" spans="1:5" x14ac:dyDescent="0.45">
      <c r="A65" s="497"/>
      <c r="B65" s="497"/>
      <c r="C65" s="498"/>
      <c r="D65" s="498"/>
      <c r="E65" s="497"/>
    </row>
    <row r="66" spans="1:5" x14ac:dyDescent="0.45">
      <c r="A66" s="497"/>
      <c r="B66" s="497"/>
      <c r="C66" s="498"/>
      <c r="D66" s="498"/>
      <c r="E66" s="497"/>
    </row>
    <row r="67" spans="1:5" x14ac:dyDescent="0.45">
      <c r="A67" s="497"/>
      <c r="B67" s="497"/>
      <c r="C67" s="498"/>
      <c r="D67" s="498"/>
      <c r="E67" s="497"/>
    </row>
    <row r="68" spans="1:5" x14ac:dyDescent="0.45">
      <c r="A68" s="497"/>
      <c r="B68" s="497"/>
      <c r="C68" s="498"/>
      <c r="D68" s="498"/>
      <c r="E68" s="497"/>
    </row>
    <row r="69" spans="1:5" x14ac:dyDescent="0.45">
      <c r="A69" s="497"/>
      <c r="B69" s="497"/>
      <c r="C69" s="498"/>
      <c r="D69" s="498"/>
      <c r="E69" s="497"/>
    </row>
    <row r="70" spans="1:5" x14ac:dyDescent="0.45">
      <c r="A70" s="497"/>
      <c r="B70" s="497"/>
      <c r="C70" s="498"/>
      <c r="D70" s="498"/>
      <c r="E70" s="497"/>
    </row>
    <row r="71" spans="1:5" x14ac:dyDescent="0.45">
      <c r="A71" s="497"/>
      <c r="B71" s="497"/>
      <c r="C71" s="498"/>
      <c r="D71" s="498"/>
      <c r="E71" s="497"/>
    </row>
    <row r="72" spans="1:5" x14ac:dyDescent="0.45">
      <c r="A72" s="497"/>
      <c r="B72" s="497"/>
      <c r="C72" s="498"/>
      <c r="D72" s="498"/>
      <c r="E72" s="497"/>
    </row>
  </sheetData>
  <sheetProtection algorithmName="SHA-512" hashValue="C9P4cq2iEFA57c32Viv2091gbYS5blRTEtl2tB1Ef5S7fDH6MD6vy9YJDInjduCz4utEsTWE4XPc3EpQFhOIQg==" saltValue="x6tVzzKX4ptNPbJRT+Ww3A==" spinCount="100000" sheet="1" objects="1" scenarios="1"/>
  <mergeCells count="42">
    <mergeCell ref="E3:F3"/>
    <mergeCell ref="E15:F15"/>
    <mergeCell ref="E14:F14"/>
    <mergeCell ref="E13:F13"/>
    <mergeCell ref="E12:F12"/>
    <mergeCell ref="E8:F8"/>
    <mergeCell ref="AF25:AF26"/>
    <mergeCell ref="B19:B32"/>
    <mergeCell ref="X25:X26"/>
    <mergeCell ref="X23:X24"/>
    <mergeCell ref="X19:X20"/>
    <mergeCell ref="AF27:AF29"/>
    <mergeCell ref="AF19:AF20"/>
    <mergeCell ref="AF23:AF24"/>
    <mergeCell ref="C30:C32"/>
    <mergeCell ref="D30:D32"/>
    <mergeCell ref="X27:X29"/>
    <mergeCell ref="AA23:AA24"/>
    <mergeCell ref="AA19:AA20"/>
    <mergeCell ref="F35:AE36"/>
    <mergeCell ref="AF35:AF36"/>
    <mergeCell ref="AA30:AA32"/>
    <mergeCell ref="AF30:AF32"/>
    <mergeCell ref="AF33:AF34"/>
    <mergeCell ref="X30:X32"/>
    <mergeCell ref="F33:AE34"/>
    <mergeCell ref="AC18:AD18"/>
    <mergeCell ref="D1:E1"/>
    <mergeCell ref="D5:E5"/>
    <mergeCell ref="D10:E10"/>
    <mergeCell ref="C27:C29"/>
    <mergeCell ref="D27:D29"/>
    <mergeCell ref="C18:D18"/>
    <mergeCell ref="C19:C20"/>
    <mergeCell ref="C23:C24"/>
    <mergeCell ref="E18:F18"/>
    <mergeCell ref="D19:D20"/>
    <mergeCell ref="D23:D24"/>
    <mergeCell ref="C25:C26"/>
    <mergeCell ref="D25:D26"/>
    <mergeCell ref="AA25:AA26"/>
    <mergeCell ref="AA27:AA29"/>
  </mergeCells>
  <conditionalFormatting sqref="G3">
    <cfRule type="cellIs" dxfId="115" priority="80" stopIfTrue="1" operator="equal">
      <formula>"-"</formula>
    </cfRule>
  </conditionalFormatting>
  <conditionalFormatting sqref="G8">
    <cfRule type="cellIs" dxfId="114" priority="79" stopIfTrue="1" operator="equal">
      <formula>"-"</formula>
    </cfRule>
  </conditionalFormatting>
  <conditionalFormatting sqref="G50">
    <cfRule type="expression" dxfId="113" priority="124">
      <formula>+$G50="-"</formula>
    </cfRule>
    <cfRule type="cellIs" dxfId="112" priority="125" stopIfTrue="1" operator="equal">
      <formula>"-"</formula>
    </cfRule>
  </conditionalFormatting>
  <conditionalFormatting sqref="G19:P32">
    <cfRule type="cellIs" dxfId="111" priority="25" stopIfTrue="1" operator="equal">
      <formula>"-"</formula>
    </cfRule>
  </conditionalFormatting>
  <conditionalFormatting sqref="U19:U32">
    <cfRule type="expression" dxfId="110" priority="42">
      <formula>+$U19="pendiente"</formula>
    </cfRule>
  </conditionalFormatting>
  <conditionalFormatting sqref="U19:W32">
    <cfRule type="expression" dxfId="109" priority="13">
      <formula>+$U19="No aplica"</formula>
    </cfRule>
  </conditionalFormatting>
  <conditionalFormatting sqref="V19:V32">
    <cfRule type="expression" dxfId="108" priority="53">
      <formula>+$V19="Muy Bajo"</formula>
    </cfRule>
    <cfRule type="expression" dxfId="107" priority="52">
      <formula>+$V19="Bajo"</formula>
    </cfRule>
    <cfRule type="expression" dxfId="106" priority="51">
      <formula>+$V19="Medio"</formula>
    </cfRule>
    <cfRule type="expression" dxfId="105" priority="50">
      <formula>+$V19="Alto"</formula>
    </cfRule>
    <cfRule type="expression" dxfId="104" priority="49">
      <formula>+$V19="Muy Alto"</formula>
    </cfRule>
    <cfRule type="expression" dxfId="103" priority="41">
      <formula>+$V19="pendiente"</formula>
    </cfRule>
  </conditionalFormatting>
  <conditionalFormatting sqref="W19:W32">
    <cfRule type="expression" dxfId="102" priority="40">
      <formula>+$W19="pendiente"</formula>
    </cfRule>
  </conditionalFormatting>
  <conditionalFormatting sqref="Y19:Y26">
    <cfRule type="cellIs" dxfId="101" priority="123" stopIfTrue="1" operator="equal">
      <formula>"pendiente"</formula>
    </cfRule>
  </conditionalFormatting>
  <conditionalFormatting sqref="Y19:Y32">
    <cfRule type="expression" dxfId="100" priority="12">
      <formula>+$U19="No aplica"</formula>
    </cfRule>
    <cfRule type="expression" dxfId="99" priority="39">
      <formula>+$Y19="pendiente"</formula>
    </cfRule>
  </conditionalFormatting>
  <conditionalFormatting sqref="AA19:AA32">
    <cfRule type="expression" dxfId="98" priority="38">
      <formula>+$AA19="pendiente"</formula>
    </cfRule>
    <cfRule type="expression" dxfId="97" priority="11">
      <formula>+$U19="No aplica"</formula>
    </cfRule>
  </conditionalFormatting>
  <conditionalFormatting sqref="AC19:AC32">
    <cfRule type="cellIs" dxfId="96" priority="9" operator="equal">
      <formula>"En la siguiente columna responda NO"</formula>
    </cfRule>
  </conditionalFormatting>
  <conditionalFormatting sqref="AD19:AD32">
    <cfRule type="cellIs" dxfId="95" priority="7" operator="equal">
      <formula>"No"</formula>
    </cfRule>
    <cfRule type="cellIs" dxfId="94" priority="8" operator="equal">
      <formula>"Sí"</formula>
    </cfRule>
  </conditionalFormatting>
  <conditionalFormatting sqref="AE19:AE32">
    <cfRule type="expression" dxfId="93" priority="6">
      <formula>+$AE19="pendiente"</formula>
    </cfRule>
  </conditionalFormatting>
  <conditionalFormatting sqref="AF19:AF26">
    <cfRule type="colorScale" priority="487">
      <colorScale>
        <cfvo type="min"/>
        <cfvo type="percentile" val="50"/>
        <cfvo type="max"/>
        <color rgb="FFF8696B"/>
        <color rgb="FFFFEB84"/>
        <color rgb="FF63BE7B"/>
      </colorScale>
    </cfRule>
  </conditionalFormatting>
  <conditionalFormatting sqref="AF19:AF32">
    <cfRule type="cellIs" dxfId="92" priority="43" operator="between">
      <formula>0</formula>
      <formula>1.349999</formula>
    </cfRule>
    <cfRule type="cellIs" dxfId="91" priority="44" operator="between">
      <formula>1.35</formula>
      <formula>2.699999</formula>
    </cfRule>
    <cfRule type="cellIs" dxfId="90" priority="45" operator="between">
      <formula>2.7</formula>
      <formula>5.399999</formula>
    </cfRule>
    <cfRule type="cellIs" dxfId="89" priority="46" operator="between">
      <formula>5.4</formula>
      <formula>10.8</formula>
    </cfRule>
    <cfRule type="expression" dxfId="88" priority="10">
      <formula>+$U19="No aplica"</formula>
    </cfRule>
    <cfRule type="expression" dxfId="87" priority="36">
      <formula>+$AF19="pendiente"</formula>
    </cfRule>
  </conditionalFormatting>
  <conditionalFormatting sqref="AF27:AF32">
    <cfRule type="colorScale" priority="47">
      <colorScale>
        <cfvo type="min"/>
        <cfvo type="percentile" val="50"/>
        <cfvo type="max"/>
        <color rgb="FFF8696B"/>
        <color rgb="FFFFEB84"/>
        <color rgb="FF63BE7B"/>
      </colorScale>
    </cfRule>
  </conditionalFormatting>
  <conditionalFormatting sqref="AF33">
    <cfRule type="cellIs" dxfId="86" priority="19" operator="between">
      <formula>0.1</formula>
      <formula>0.24999</formula>
    </cfRule>
    <cfRule type="cellIs" dxfId="85" priority="18" operator="between">
      <formula>0</formula>
      <formula>0.09999</formula>
    </cfRule>
    <cfRule type="containsText" dxfId="84" priority="17" operator="containsText" text="pendiente">
      <formula>NOT(ISERROR(SEARCH("pendiente",AF33)))</formula>
    </cfRule>
    <cfRule type="cellIs" dxfId="83" priority="21" operator="between">
      <formula>0.5</formula>
      <formula>100</formula>
    </cfRule>
    <cfRule type="cellIs" dxfId="82" priority="20" operator="between">
      <formula>0.25</formula>
      <formula>0.49999</formula>
    </cfRule>
  </conditionalFormatting>
  <conditionalFormatting sqref="AF35">
    <cfRule type="cellIs" dxfId="81" priority="5" operator="between">
      <formula>0.5</formula>
      <formula>100</formula>
    </cfRule>
    <cfRule type="cellIs" dxfId="80" priority="4" operator="between">
      <formula>0.25</formula>
      <formula>0.49999</formula>
    </cfRule>
    <cfRule type="cellIs" dxfId="79" priority="3" operator="between">
      <formula>0.1</formula>
      <formula>0.249999</formula>
    </cfRule>
    <cfRule type="cellIs" dxfId="78" priority="2" operator="between">
      <formula>0</formula>
      <formula>0.09999</formula>
    </cfRule>
    <cfRule type="cellIs" dxfId="77" priority="1" operator="equal">
      <formula>"pendiente"</formula>
    </cfRule>
  </conditionalFormatting>
  <dataValidations count="5">
    <dataValidation type="list" allowBlank="1" showInputMessage="1" showErrorMessage="1" sqref="F9:F11" xr:uid="{F7EC71CF-3215-4A00-B5C2-4F6AE6876F37}">
      <formula1>#REF!</formula1>
    </dataValidation>
    <dataValidation type="list" allowBlank="1" showInputMessage="1" showErrorMessage="1" sqref="G8" xr:uid="{869C52F1-3F65-4C48-AEC9-4AC910E7A66C}">
      <formula1>$B$49:$B$51</formula1>
    </dataValidation>
    <dataValidation type="list" allowBlank="1" showInputMessage="1" showErrorMessage="1" sqref="G3" xr:uid="{3A50CEF5-7149-4393-89C9-F43AE0EF311C}">
      <formula1>$B$45:$B$47</formula1>
    </dataValidation>
    <dataValidation type="list" allowBlank="1" showInputMessage="1" showErrorMessage="1" sqref="M19:M32 J19:J32 P19:P32 G19:G32" xr:uid="{8ECFECA4-375F-4858-9B17-C7D81355827D}">
      <formula1>$B$57:$B$59</formula1>
    </dataValidation>
    <dataValidation type="list" allowBlank="1" showInputMessage="1" showErrorMessage="1" sqref="AD19:AD32" xr:uid="{81DB3676-A744-42CE-90E5-B492FD2E3E38}">
      <formula1>"Sí,No"</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D3E49-E01B-402A-9392-099D89E5006F}">
  <dimension ref="B1:AI58"/>
  <sheetViews>
    <sheetView showGridLines="0" zoomScale="25" zoomScaleNormal="25" workbookViewId="0">
      <selection activeCell="AF21" sqref="AF21:AF22"/>
    </sheetView>
  </sheetViews>
  <sheetFormatPr defaultColWidth="8.7265625" defaultRowHeight="18.5" x14ac:dyDescent="0.45"/>
  <cols>
    <col min="1" max="3" width="8.7265625" style="115"/>
    <col min="4" max="4" width="37" style="252" customWidth="1"/>
    <col min="5" max="5" width="95.453125" style="115" customWidth="1"/>
    <col min="6" max="6" width="6.7265625" style="115" customWidth="1"/>
    <col min="7" max="7" width="8.7265625" style="115" customWidth="1"/>
    <col min="8" max="8" width="8.7265625" style="115" hidden="1" customWidth="1"/>
    <col min="9" max="9" width="10.81640625" style="115" hidden="1" customWidth="1"/>
    <col min="10" max="10" width="8.7265625" style="115" customWidth="1"/>
    <col min="11" max="12" width="8.7265625" style="115" hidden="1" customWidth="1"/>
    <col min="13" max="13" width="8.7265625" style="115" customWidth="1"/>
    <col min="14" max="15" width="8.7265625" style="115" hidden="1" customWidth="1"/>
    <col min="16" max="16" width="8.7265625" style="115" customWidth="1"/>
    <col min="17" max="17" width="8.7265625" style="115" hidden="1" customWidth="1"/>
    <col min="18" max="18" width="0.7265625" style="115" hidden="1" customWidth="1"/>
    <col min="19" max="19" width="16.1796875" style="115" hidden="1" customWidth="1"/>
    <col min="20" max="20" width="19.81640625" style="115" hidden="1" customWidth="1"/>
    <col min="21" max="21" width="13.81640625" style="115" hidden="1" customWidth="1"/>
    <col min="22" max="22" width="16.26953125" style="115" customWidth="1"/>
    <col min="23" max="23" width="20.1796875" style="115" customWidth="1"/>
    <col min="24" max="24" width="18.26953125" style="119" customWidth="1"/>
    <col min="25" max="25" width="22.26953125" style="115" customWidth="1"/>
    <col min="26" max="26" width="23.1796875" style="119" bestFit="1" customWidth="1"/>
    <col min="27" max="27" width="18.81640625" style="115" customWidth="1"/>
    <col min="28" max="28" width="84.54296875" style="115" customWidth="1"/>
    <col min="29" max="29" width="40.54296875" style="115" customWidth="1"/>
    <col min="30" max="30" width="15.453125" style="252" customWidth="1"/>
    <col min="31" max="31" width="23.26953125" style="115" customWidth="1"/>
    <col min="32" max="32" width="19.7265625" style="115" customWidth="1"/>
    <col min="33" max="33" width="20.54296875" style="115" customWidth="1"/>
    <col min="34" max="16384" width="8.7265625" style="115"/>
  </cols>
  <sheetData>
    <row r="1" spans="3:31" x14ac:dyDescent="0.45">
      <c r="D1" s="513" t="s">
        <v>343</v>
      </c>
      <c r="E1" s="513"/>
      <c r="F1" s="117"/>
      <c r="G1" s="117"/>
      <c r="H1" s="117"/>
    </row>
    <row r="2" spans="3:31" x14ac:dyDescent="0.45">
      <c r="G2" s="122" t="s">
        <v>43</v>
      </c>
      <c r="H2" s="117"/>
      <c r="I2" s="117"/>
    </row>
    <row r="3" spans="3:31" x14ac:dyDescent="0.45">
      <c r="D3" s="123" t="s">
        <v>43</v>
      </c>
      <c r="E3" s="523" t="s">
        <v>472</v>
      </c>
      <c r="F3" s="523"/>
      <c r="G3" s="334" t="s">
        <v>80</v>
      </c>
      <c r="H3" s="117"/>
      <c r="I3" s="117"/>
    </row>
    <row r="4" spans="3:31" x14ac:dyDescent="0.45">
      <c r="G4" s="117"/>
      <c r="H4" s="117"/>
      <c r="I4" s="117"/>
    </row>
    <row r="5" spans="3:31" x14ac:dyDescent="0.45">
      <c r="D5" s="513" t="s">
        <v>45</v>
      </c>
      <c r="E5" s="513"/>
      <c r="G5" s="117"/>
      <c r="H5" s="117"/>
      <c r="I5" s="117"/>
    </row>
    <row r="6" spans="3:31" x14ac:dyDescent="0.45">
      <c r="D6" s="444"/>
      <c r="E6" s="116"/>
      <c r="G6" s="117"/>
      <c r="H6" s="117"/>
      <c r="I6" s="117"/>
    </row>
    <row r="7" spans="3:31" x14ac:dyDescent="0.45">
      <c r="G7" s="122" t="s">
        <v>46</v>
      </c>
      <c r="H7" s="117"/>
      <c r="I7" s="117"/>
    </row>
    <row r="8" spans="3:31" ht="105.65" customHeight="1" x14ac:dyDescent="0.45">
      <c r="D8" s="123" t="s">
        <v>46</v>
      </c>
      <c r="E8" s="524" t="s">
        <v>506</v>
      </c>
      <c r="F8" s="524"/>
      <c r="G8" s="334" t="s">
        <v>80</v>
      </c>
      <c r="H8" s="124" t="e">
        <f>VLOOKUP(G8,$B$41:$C$42,2,0)</f>
        <v>#N/A</v>
      </c>
      <c r="I8" s="124">
        <v>3</v>
      </c>
    </row>
    <row r="9" spans="3:31" x14ac:dyDescent="0.45">
      <c r="D9" s="125"/>
      <c r="E9" s="126"/>
      <c r="F9" s="127"/>
      <c r="G9" s="117"/>
      <c r="H9" s="117"/>
    </row>
    <row r="10" spans="3:31" x14ac:dyDescent="0.45">
      <c r="D10" s="514" t="s">
        <v>47</v>
      </c>
      <c r="E10" s="514"/>
      <c r="F10" s="127"/>
      <c r="G10" s="117"/>
      <c r="H10" s="117"/>
    </row>
    <row r="11" spans="3:31" x14ac:dyDescent="0.45">
      <c r="D11" s="125"/>
      <c r="E11" s="126"/>
      <c r="F11" s="127"/>
      <c r="G11" s="117"/>
      <c r="H11" s="117"/>
    </row>
    <row r="12" spans="3:31" ht="55.5" customHeight="1" x14ac:dyDescent="0.45">
      <c r="D12" s="128" t="s">
        <v>48</v>
      </c>
      <c r="E12" s="524" t="s">
        <v>49</v>
      </c>
      <c r="F12" s="524"/>
      <c r="G12" s="253"/>
      <c r="H12" s="253"/>
      <c r="M12" s="117"/>
    </row>
    <row r="13" spans="3:31" ht="129.5" customHeight="1" x14ac:dyDescent="0.45">
      <c r="D13" s="130" t="s">
        <v>50</v>
      </c>
      <c r="E13" s="524" t="s">
        <v>533</v>
      </c>
      <c r="F13" s="524"/>
      <c r="G13" s="253"/>
      <c r="H13" s="253"/>
    </row>
    <row r="14" spans="3:31" ht="123.65" customHeight="1" x14ac:dyDescent="0.45">
      <c r="D14" s="131" t="s">
        <v>51</v>
      </c>
      <c r="E14" s="524" t="s">
        <v>363</v>
      </c>
      <c r="F14" s="524"/>
      <c r="G14" s="253"/>
      <c r="H14" s="253"/>
    </row>
    <row r="15" spans="3:31" ht="46.5" customHeight="1" x14ac:dyDescent="0.45">
      <c r="D15" s="132" t="s">
        <v>52</v>
      </c>
      <c r="E15" s="524" t="s">
        <v>53</v>
      </c>
      <c r="F15" s="524"/>
      <c r="G15" s="253"/>
      <c r="H15" s="253"/>
    </row>
    <row r="16" spans="3:31" x14ac:dyDescent="0.45">
      <c r="C16" s="117"/>
      <c r="D16" s="120"/>
      <c r="E16" s="445"/>
      <c r="F16" s="117"/>
      <c r="G16" s="117"/>
      <c r="H16" s="117"/>
      <c r="I16" s="117"/>
      <c r="J16" s="117"/>
      <c r="K16" s="117"/>
      <c r="L16" s="117"/>
      <c r="M16" s="117"/>
      <c r="N16" s="117"/>
      <c r="O16" s="117"/>
      <c r="P16" s="117"/>
      <c r="Q16" s="117"/>
      <c r="R16" s="117"/>
      <c r="S16" s="117"/>
      <c r="T16" s="117"/>
      <c r="U16" s="117"/>
      <c r="V16" s="117"/>
      <c r="W16" s="117"/>
      <c r="AA16" s="117"/>
      <c r="AB16" s="117"/>
      <c r="AC16" s="117"/>
      <c r="AD16" s="120"/>
      <c r="AE16" s="117"/>
    </row>
    <row r="17" spans="2:35" ht="19" thickBot="1" x14ac:dyDescent="0.5">
      <c r="C17" s="117"/>
      <c r="D17" s="120"/>
      <c r="E17" s="117"/>
      <c r="F17" s="117"/>
      <c r="G17" s="117"/>
      <c r="H17" s="117"/>
      <c r="I17" s="117"/>
      <c r="J17" s="117"/>
      <c r="K17" s="117"/>
      <c r="L17" s="117"/>
      <c r="M17" s="117"/>
      <c r="N17" s="117"/>
      <c r="O17" s="117"/>
      <c r="P17" s="117"/>
      <c r="Q17" s="117"/>
      <c r="R17" s="117"/>
      <c r="S17" s="117"/>
      <c r="T17" s="117"/>
      <c r="U17" s="117"/>
      <c r="V17" s="117"/>
      <c r="W17" s="117"/>
      <c r="AA17" s="117"/>
      <c r="AB17" s="117"/>
      <c r="AC17" s="117"/>
      <c r="AD17" s="120"/>
      <c r="AE17" s="117"/>
    </row>
    <row r="18" spans="2:35" ht="56" thickBot="1" x14ac:dyDescent="0.5">
      <c r="C18" s="515" t="s">
        <v>364</v>
      </c>
      <c r="D18" s="517"/>
      <c r="E18" s="515" t="s">
        <v>341</v>
      </c>
      <c r="F18" s="516"/>
      <c r="G18" s="137" t="s">
        <v>48</v>
      </c>
      <c r="H18" s="138"/>
      <c r="I18" s="138"/>
      <c r="J18" s="139" t="s">
        <v>50</v>
      </c>
      <c r="K18" s="138"/>
      <c r="L18" s="138"/>
      <c r="M18" s="136" t="s">
        <v>51</v>
      </c>
      <c r="N18" s="138"/>
      <c r="O18" s="138"/>
      <c r="P18" s="140" t="s">
        <v>52</v>
      </c>
      <c r="Q18" s="141"/>
      <c r="R18" s="255"/>
      <c r="S18" s="143" t="s">
        <v>54</v>
      </c>
      <c r="T18" s="138" t="s">
        <v>55</v>
      </c>
      <c r="U18" s="138" t="s">
        <v>56</v>
      </c>
      <c r="V18" s="138" t="s">
        <v>57</v>
      </c>
      <c r="W18" s="144" t="s">
        <v>58</v>
      </c>
      <c r="X18" s="145" t="s">
        <v>508</v>
      </c>
      <c r="Y18" s="146" t="s">
        <v>546</v>
      </c>
      <c r="Z18" s="146" t="s">
        <v>532</v>
      </c>
      <c r="AA18" s="396" t="s">
        <v>59</v>
      </c>
      <c r="AB18" s="398" t="s">
        <v>17</v>
      </c>
      <c r="AC18" s="521" t="s">
        <v>509</v>
      </c>
      <c r="AD18" s="619"/>
      <c r="AE18" s="149" t="s">
        <v>60</v>
      </c>
      <c r="AF18" s="151" t="s">
        <v>61</v>
      </c>
      <c r="AG18" s="152" t="s">
        <v>62</v>
      </c>
    </row>
    <row r="19" spans="2:35" ht="182.15" customHeight="1" x14ac:dyDescent="0.45">
      <c r="B19" s="628" t="s">
        <v>471</v>
      </c>
      <c r="C19" s="525">
        <v>1</v>
      </c>
      <c r="D19" s="528" t="s">
        <v>137</v>
      </c>
      <c r="E19" s="446" t="s">
        <v>473</v>
      </c>
      <c r="F19" s="400" t="s">
        <v>63</v>
      </c>
      <c r="G19" s="35" t="s">
        <v>80</v>
      </c>
      <c r="H19" s="157" t="e">
        <f>VLOOKUP(G19,$B$45:$C$46,2,0)</f>
        <v>#N/A</v>
      </c>
      <c r="I19" s="158">
        <v>2</v>
      </c>
      <c r="J19" s="10" t="s">
        <v>80</v>
      </c>
      <c r="K19" s="157" t="e">
        <f>VLOOKUP(J19,$B$49:$C$50,2,0)</f>
        <v>#N/A</v>
      </c>
      <c r="L19" s="158">
        <v>1</v>
      </c>
      <c r="M19" s="10" t="s">
        <v>80</v>
      </c>
      <c r="N19" s="259" t="e">
        <f>VLOOKUP(M19,$B$54:$C$55,2,0)</f>
        <v>#N/A</v>
      </c>
      <c r="O19" s="158">
        <v>2</v>
      </c>
      <c r="P19" s="10" t="s">
        <v>80</v>
      </c>
      <c r="Q19" s="157" t="e">
        <f>VLOOKUP(P19,$B$45:$C$46,2,0)</f>
        <v>#N/A</v>
      </c>
      <c r="R19" s="159">
        <v>2</v>
      </c>
      <c r="S19" s="156" t="str">
        <f>IF($G$3="NO","No aplica",IF($G$3="-","-",IF($G$8="-","-",IF(G19="-","-",IF(J19="-","-",IF(M19="-","-",IF(P19="-","-",SUM($H$8,H19,K19,N19,Q19))))))))</f>
        <v>-</v>
      </c>
      <c r="T19" s="157">
        <f t="shared" ref="T19:T29" si="0">SUM($I$8,I19,L19,O19,R19)</f>
        <v>10</v>
      </c>
      <c r="U19" s="18" t="str">
        <f>IF(S19="-","Pendiente",IF(S19="No aplica","No aplica",+S19/T19))</f>
        <v>Pendiente</v>
      </c>
      <c r="V19" s="11" t="str">
        <f>IF(COUNTIF(U19:U29,"Pendiente")&gt;0,"Pendiente",IF(U19="No aplica","No aplica",IF(U19&gt;=100%,"Muy Bajo",IF(U19&gt;=80%,"Bajo",IF(U19&gt;=60%,"Medio",IF(U19&gt;=40%,"Alto","Muy Alto"))))))</f>
        <v>Pendiente</v>
      </c>
      <c r="W19" s="160" t="str">
        <f t="shared" ref="W19:W29" si="1">+IF($G$3="No","No aplica",IF(V19="Pendiente","Pendiente",IF(V19="Muy Bajo",5%,IF(V19="Bajo",30%,IF(V19="Medio",50%,IF(V19="Alto",70%,90%))))))</f>
        <v>Pendiente</v>
      </c>
      <c r="X19" s="580">
        <v>2</v>
      </c>
      <c r="Y19" s="12" t="str">
        <f>+W19</f>
        <v>Pendiente</v>
      </c>
      <c r="Z19" s="260">
        <v>3</v>
      </c>
      <c r="AA19" s="601" t="str">
        <f>IF($G$3="No","No aplica",+IF(COUNTIF(Y19:Y20,"Pendiente")&gt;0,"Pendiente",AVERAGE(4*Y19*Z19,4*Y20*1.5)))</f>
        <v>Pendiente</v>
      </c>
      <c r="AB19" s="431" t="s">
        <v>237</v>
      </c>
      <c r="AC19" s="163" t="str">
        <f t="shared" ref="AC19:AC29" si="2">IF($G$3="No","No aplica",IF(OR($G$8="-",G19="-",J19="-",M19="-",P19="-"),"Pendiente",IF(AND(G19="No",J19="Sí",M19="Sí",P19="No"),"En la siguiente columna responda NO","Responda a la pregunta en la siguiente columna ----&gt;")))</f>
        <v>Pendiente</v>
      </c>
      <c r="AD19" s="392"/>
      <c r="AE19" s="401" t="str">
        <f>+IF(Y19="No aplica","No aplica",+IF(AND(AC19="En la siguiente columna responda NO",AD19="No"),Y19,IF(AND(AC19="En la siguiente columna responda NO",AD19="Sí"),"Responda No en la pregunta anterior",IF(AD19="SÍ",Y19/2,Y19))))</f>
        <v>Pendiente</v>
      </c>
      <c r="AF19" s="510" t="str">
        <f>IF($G$3="No","No aplica",+IF(AA19="Pendiente","Pendiente",IF(COUNTIF(AD19:AD29,"")&gt;0,"Pendiente",AVERAGE(4*Z19*AE19,4*1.5*AE20))))</f>
        <v>Pendiente</v>
      </c>
      <c r="AG19" s="240"/>
      <c r="AI19" s="118"/>
    </row>
    <row r="20" spans="2:35" ht="217.5" customHeight="1" thickBot="1" x14ac:dyDescent="0.5">
      <c r="B20" s="629"/>
      <c r="C20" s="527"/>
      <c r="D20" s="530"/>
      <c r="E20" s="177" t="s">
        <v>474</v>
      </c>
      <c r="F20" s="402" t="s">
        <v>83</v>
      </c>
      <c r="G20" s="40" t="s">
        <v>80</v>
      </c>
      <c r="H20" s="192" t="e">
        <f>VLOOKUP(G20,$B$45:$C$46,2,0)</f>
        <v>#N/A</v>
      </c>
      <c r="I20" s="193">
        <v>2</v>
      </c>
      <c r="J20" s="25" t="s">
        <v>80</v>
      </c>
      <c r="K20" s="192" t="e">
        <f>VLOOKUP(J20,$B$49:$C$50,2,0)</f>
        <v>#N/A</v>
      </c>
      <c r="L20" s="193">
        <v>1</v>
      </c>
      <c r="M20" s="25" t="s">
        <v>80</v>
      </c>
      <c r="N20" s="271" t="e">
        <f>VLOOKUP(M20,$B$54:$C$55,2,0)</f>
        <v>#N/A</v>
      </c>
      <c r="O20" s="193">
        <v>2</v>
      </c>
      <c r="P20" s="25" t="s">
        <v>80</v>
      </c>
      <c r="Q20" s="192" t="e">
        <f>VLOOKUP(P20,$B$45:$C$46,2,0)</f>
        <v>#N/A</v>
      </c>
      <c r="R20" s="194">
        <v>2</v>
      </c>
      <c r="S20" s="191" t="str">
        <f t="shared" ref="S20:S29" si="3">IF($G$3="NO","No aplica", IF($G$3="-","-",IF($G$8="-","-",IF(G20="-","-",IF(J20="-","-",IF(M20="-","-",IF(P20="-","-",SUM($H$8,H20,K20,N20,Q20))))))))</f>
        <v>-</v>
      </c>
      <c r="T20" s="192">
        <f t="shared" si="0"/>
        <v>10</v>
      </c>
      <c r="U20" s="29" t="str">
        <f>IF(S20="-","Pendiente",IF(S20="No aplica","No aplica",S20/T20))</f>
        <v>Pendiente</v>
      </c>
      <c r="V20" s="26" t="str">
        <f>IF(COUNTIF(U19:U29,"Pendiente")&gt;0,"Pendiente",IF(U20="No aplica","No aplica",IF(U20&gt;=100%,"Muy Bajo",IF(U20&gt;=80%,"Bajo",IF(U20&gt;=60%,"Medio",IF(U20&gt;=40%,"Alto","Muy Alto"))))))</f>
        <v>Pendiente</v>
      </c>
      <c r="W20" s="196" t="str">
        <f t="shared" si="1"/>
        <v>Pendiente</v>
      </c>
      <c r="X20" s="582"/>
      <c r="Y20" s="27" t="str">
        <f>+W20</f>
        <v>Pendiente</v>
      </c>
      <c r="Z20" s="378">
        <v>1</v>
      </c>
      <c r="AA20" s="603"/>
      <c r="AB20" s="433" t="s">
        <v>238</v>
      </c>
      <c r="AC20" s="345" t="str">
        <f t="shared" si="2"/>
        <v>Pendiente</v>
      </c>
      <c r="AD20" s="391"/>
      <c r="AE20" s="403" t="str">
        <f t="shared" ref="AE20:AE29" si="4">+IF(Y20="No aplica","No aplica",+IF(AND(AC20="En la siguiente columna responda NO",AD20="No"),Y20,IF(AND(AC20="En la siguiente columna responda NO",AD20="Sí"),"Responda No en la pregunta anterior",IF(AD20="SÍ",Y20/2,Y20))))</f>
        <v>Pendiente</v>
      </c>
      <c r="AF20" s="511"/>
      <c r="AG20" s="242"/>
      <c r="AI20" s="118"/>
    </row>
    <row r="21" spans="2:35" ht="208" customHeight="1" x14ac:dyDescent="0.45">
      <c r="B21" s="629"/>
      <c r="C21" s="525">
        <v>2</v>
      </c>
      <c r="D21" s="543" t="s">
        <v>138</v>
      </c>
      <c r="E21" s="221" t="s">
        <v>475</v>
      </c>
      <c r="F21" s="400" t="s">
        <v>65</v>
      </c>
      <c r="G21" s="35" t="s">
        <v>80</v>
      </c>
      <c r="H21" s="157" t="e">
        <f>VLOOKUP(G21,$B$45:$C$46,2,0)</f>
        <v>#N/A</v>
      </c>
      <c r="I21" s="158">
        <v>2</v>
      </c>
      <c r="J21" s="10" t="s">
        <v>80</v>
      </c>
      <c r="K21" s="157" t="e">
        <f>VLOOKUP(J21,$B$49:$C$50,2,0)</f>
        <v>#N/A</v>
      </c>
      <c r="L21" s="158">
        <v>1</v>
      </c>
      <c r="M21" s="10" t="s">
        <v>80</v>
      </c>
      <c r="N21" s="259" t="e">
        <f>VLOOKUP(M21,$B$54:$C$55,2,0)</f>
        <v>#N/A</v>
      </c>
      <c r="O21" s="158">
        <v>2</v>
      </c>
      <c r="P21" s="10" t="s">
        <v>80</v>
      </c>
      <c r="Q21" s="157" t="e">
        <f>VLOOKUP(P21,$B$45:$C$46,2,0)</f>
        <v>#N/A</v>
      </c>
      <c r="R21" s="159">
        <v>2</v>
      </c>
      <c r="S21" s="156" t="str">
        <f t="shared" si="3"/>
        <v>-</v>
      </c>
      <c r="T21" s="157">
        <f t="shared" si="0"/>
        <v>10</v>
      </c>
      <c r="U21" s="18" t="str">
        <f>IF(S21="-","Pendiente",IF(S21="No aplica","No aplica",S21/T21))</f>
        <v>Pendiente</v>
      </c>
      <c r="V21" s="11" t="str">
        <f>IF(COUNTIF(U19:U29,"Pendiente")&gt;0,"Pendiente",IF(U21="No aplica","No aplica",IF(U21&gt;=100%,"Muy Bajo",IF(U21&gt;=80%,"Bajo",IF(U21&gt;=60%,"Medio",IF(U21&gt;=40%,"Alto","Muy Alto"))))))</f>
        <v>Pendiente</v>
      </c>
      <c r="W21" s="160" t="str">
        <f t="shared" si="1"/>
        <v>Pendiente</v>
      </c>
      <c r="X21" s="589">
        <v>1</v>
      </c>
      <c r="Y21" s="12" t="str">
        <f t="shared" ref="Y21:Y25" si="5">+W21</f>
        <v>Pendiente</v>
      </c>
      <c r="Z21" s="222">
        <v>1</v>
      </c>
      <c r="AA21" s="601" t="str">
        <f>IF($G$3="No","No aplica",+IF(COUNTIF(Y21:Y22,"Pendiente")&gt;0,"Pendiente",AVERAGE(3*Y21*1.5,3*Y22*1.5)))</f>
        <v>Pendiente</v>
      </c>
      <c r="AB21" s="431" t="s">
        <v>514</v>
      </c>
      <c r="AC21" s="163" t="str">
        <f t="shared" si="2"/>
        <v>Pendiente</v>
      </c>
      <c r="AD21" s="392"/>
      <c r="AE21" s="401" t="str">
        <f t="shared" si="4"/>
        <v>Pendiente</v>
      </c>
      <c r="AF21" s="510" t="str">
        <f>IF($G$3="No","No aplica",+IF(AA21="Pendiente","Pendiente",IF(COUNTIF(AD19:AD29,"")&gt;0,"Pendiente",AVERAGE(3*1.5*AE21,3*1.5*AE22))))</f>
        <v>Pendiente</v>
      </c>
      <c r="AG21" s="240"/>
      <c r="AI21" s="118"/>
    </row>
    <row r="22" spans="2:35" ht="174" customHeight="1" thickBot="1" x14ac:dyDescent="0.5">
      <c r="B22" s="629"/>
      <c r="C22" s="527"/>
      <c r="D22" s="544"/>
      <c r="E22" s="177" t="s">
        <v>476</v>
      </c>
      <c r="F22" s="402" t="s">
        <v>66</v>
      </c>
      <c r="G22" s="40" t="s">
        <v>80</v>
      </c>
      <c r="H22" s="192" t="e">
        <f>VLOOKUP(G22,$B$45:$C$46,2,0)</f>
        <v>#N/A</v>
      </c>
      <c r="I22" s="193">
        <v>2</v>
      </c>
      <c r="J22" s="25" t="s">
        <v>80</v>
      </c>
      <c r="K22" s="192" t="e">
        <f>VLOOKUP(J22,$B$49:$C$50,2,0)</f>
        <v>#N/A</v>
      </c>
      <c r="L22" s="193">
        <v>1</v>
      </c>
      <c r="M22" s="25" t="s">
        <v>80</v>
      </c>
      <c r="N22" s="271" t="e">
        <f>VLOOKUP(M22,$B$54:$C$55,2,0)</f>
        <v>#N/A</v>
      </c>
      <c r="O22" s="193">
        <v>2</v>
      </c>
      <c r="P22" s="25" t="s">
        <v>80</v>
      </c>
      <c r="Q22" s="192" t="e">
        <f>VLOOKUP(P22,$B$45:$C$46,2,0)</f>
        <v>#N/A</v>
      </c>
      <c r="R22" s="194">
        <v>2</v>
      </c>
      <c r="S22" s="191" t="str">
        <f t="shared" si="3"/>
        <v>-</v>
      </c>
      <c r="T22" s="192">
        <f t="shared" si="0"/>
        <v>10</v>
      </c>
      <c r="U22" s="29" t="str">
        <f t="shared" ref="U22:U29" si="6">IF(S22="-","Pendiente",IF(S22="No aplica","No aplica",+S22/T22))</f>
        <v>Pendiente</v>
      </c>
      <c r="V22" s="26" t="str">
        <f>IF(COUNTIF(U19:U29,"Pendiente")&gt;0,"Pendiente",IF(U22="No aplica","No aplica",IF(U22&gt;=100%,"Muy Bajo",IF(U22&gt;=80%,"Bajo",IF(U22&gt;=60%,"Medio",IF(U22&gt;=40%,"Alto","Muy Alto"))))))</f>
        <v>Pendiente</v>
      </c>
      <c r="W22" s="196" t="str">
        <f t="shared" si="1"/>
        <v>Pendiente</v>
      </c>
      <c r="X22" s="588"/>
      <c r="Y22" s="29" t="str">
        <f t="shared" si="5"/>
        <v>Pendiente</v>
      </c>
      <c r="Z22" s="283">
        <v>1</v>
      </c>
      <c r="AA22" s="603"/>
      <c r="AB22" s="433" t="s">
        <v>239</v>
      </c>
      <c r="AC22" s="345" t="str">
        <f t="shared" si="2"/>
        <v>Pendiente</v>
      </c>
      <c r="AD22" s="391"/>
      <c r="AE22" s="403" t="str">
        <f t="shared" si="4"/>
        <v>Pendiente</v>
      </c>
      <c r="AF22" s="511"/>
      <c r="AG22" s="242"/>
      <c r="AI22" s="118"/>
    </row>
    <row r="23" spans="2:35" ht="134.5" customHeight="1" x14ac:dyDescent="0.45">
      <c r="B23" s="629"/>
      <c r="C23" s="525">
        <v>3</v>
      </c>
      <c r="D23" s="528" t="s">
        <v>139</v>
      </c>
      <c r="E23" s="446" t="s">
        <v>477</v>
      </c>
      <c r="F23" s="447" t="s">
        <v>68</v>
      </c>
      <c r="G23" s="35" t="s">
        <v>80</v>
      </c>
      <c r="H23" s="157" t="e">
        <f t="shared" ref="H23:H24" si="7">VLOOKUP(G23,$B$45:$C$46,2,0)</f>
        <v>#N/A</v>
      </c>
      <c r="I23" s="158">
        <v>2</v>
      </c>
      <c r="J23" s="10" t="s">
        <v>80</v>
      </c>
      <c r="K23" s="157" t="e">
        <f t="shared" ref="K23:K24" si="8">VLOOKUP(J23,$B$49:$C$50,2,0)</f>
        <v>#N/A</v>
      </c>
      <c r="L23" s="158">
        <v>1</v>
      </c>
      <c r="M23" s="10" t="s">
        <v>80</v>
      </c>
      <c r="N23" s="259" t="e">
        <f t="shared" ref="N23:N24" si="9">VLOOKUP(M23,$B$54:$C$55,2,0)</f>
        <v>#N/A</v>
      </c>
      <c r="O23" s="158">
        <v>2</v>
      </c>
      <c r="P23" s="10" t="s">
        <v>80</v>
      </c>
      <c r="Q23" s="157" t="e">
        <f t="shared" ref="Q23:Q24" si="10">VLOOKUP(P23,$B$45:$C$46,2,0)</f>
        <v>#N/A</v>
      </c>
      <c r="R23" s="159">
        <v>2</v>
      </c>
      <c r="S23" s="156" t="str">
        <f t="shared" si="3"/>
        <v>-</v>
      </c>
      <c r="T23" s="157">
        <f t="shared" si="0"/>
        <v>10</v>
      </c>
      <c r="U23" s="18" t="str">
        <f t="shared" si="6"/>
        <v>Pendiente</v>
      </c>
      <c r="V23" s="11" t="str">
        <f>IF(COUNTIF(U19:U29,"Pendiente")&gt;0,"Pendiente",IF(U23="No aplica","No aplica",IF(U23&gt;=100%,"Muy Bajo",IF(U23&gt;=80%,"Bajo",IF(U23&gt;=60%,"Medio",IF(U23&gt;=40%,"Alto","Muy Alto"))))))</f>
        <v>Pendiente</v>
      </c>
      <c r="W23" s="160" t="str">
        <f t="shared" si="1"/>
        <v>Pendiente</v>
      </c>
      <c r="X23" s="580">
        <v>2</v>
      </c>
      <c r="Y23" s="18" t="str">
        <f t="shared" ref="Y23" si="11">+W23</f>
        <v>Pendiente</v>
      </c>
      <c r="Z23" s="260">
        <v>3</v>
      </c>
      <c r="AA23" s="601" t="str">
        <f>IF($G$3="No","No aplica",+IF(COUNTIF(Y23:Y24,"Pendiente")&gt;0,"Pendiente",AVERAGE(4*Y23*Z23,4*Y24*Z24)))</f>
        <v>Pendiente</v>
      </c>
      <c r="AB23" s="431" t="s">
        <v>240</v>
      </c>
      <c r="AC23" s="163" t="str">
        <f t="shared" si="2"/>
        <v>Pendiente</v>
      </c>
      <c r="AD23" s="392"/>
      <c r="AE23" s="401" t="str">
        <f t="shared" si="4"/>
        <v>Pendiente</v>
      </c>
      <c r="AF23" s="510" t="str">
        <f>IF($G$3="No","No aplica",+IF(AA23="Pendiente","Pendiente",IF(COUNTIF(AD19:AD29,"")&gt;0,"Pendiente",AVERAGE(4*Z23*AE23,4*Z24*AE24))))</f>
        <v>Pendiente</v>
      </c>
      <c r="AG23" s="240"/>
      <c r="AI23" s="118"/>
    </row>
    <row r="24" spans="2:35" ht="218.25" customHeight="1" thickBot="1" x14ac:dyDescent="0.5">
      <c r="B24" s="629"/>
      <c r="C24" s="527"/>
      <c r="D24" s="530"/>
      <c r="E24" s="448" t="s">
        <v>478</v>
      </c>
      <c r="F24" s="436" t="s">
        <v>69</v>
      </c>
      <c r="G24" s="40" t="s">
        <v>80</v>
      </c>
      <c r="H24" s="192" t="e">
        <f t="shared" si="7"/>
        <v>#N/A</v>
      </c>
      <c r="I24" s="193">
        <v>2</v>
      </c>
      <c r="J24" s="25" t="s">
        <v>80</v>
      </c>
      <c r="K24" s="192" t="e">
        <f t="shared" si="8"/>
        <v>#N/A</v>
      </c>
      <c r="L24" s="193">
        <v>1</v>
      </c>
      <c r="M24" s="25" t="s">
        <v>80</v>
      </c>
      <c r="N24" s="271" t="e">
        <f t="shared" si="9"/>
        <v>#N/A</v>
      </c>
      <c r="O24" s="193">
        <v>2</v>
      </c>
      <c r="P24" s="25" t="s">
        <v>80</v>
      </c>
      <c r="Q24" s="192" t="e">
        <f t="shared" si="10"/>
        <v>#N/A</v>
      </c>
      <c r="R24" s="194">
        <v>2</v>
      </c>
      <c r="S24" s="191" t="str">
        <f t="shared" si="3"/>
        <v>-</v>
      </c>
      <c r="T24" s="192">
        <f t="shared" si="0"/>
        <v>10</v>
      </c>
      <c r="U24" s="29" t="str">
        <f t="shared" si="6"/>
        <v>Pendiente</v>
      </c>
      <c r="V24" s="26" t="str">
        <f>IF(COUNTIF(U19:U29,"Pendiente")&gt;0,"Pendiente",IF(U24="No aplica","No aplica",IF(U24&gt;=100%,"Muy Bajo",IF(U24&gt;=80%,"Bajo",IF(U24&gt;=60%,"Medio",IF(U24&gt;=40%,"Alto","Muy Alto"))))))</f>
        <v>Pendiente</v>
      </c>
      <c r="W24" s="196" t="str">
        <f t="shared" si="1"/>
        <v>Pendiente</v>
      </c>
      <c r="X24" s="582"/>
      <c r="Y24" s="27" t="str">
        <f>+W24</f>
        <v>Pendiente</v>
      </c>
      <c r="Z24" s="449">
        <v>3</v>
      </c>
      <c r="AA24" s="603"/>
      <c r="AB24" s="433" t="s">
        <v>195</v>
      </c>
      <c r="AC24" s="345" t="str">
        <f t="shared" si="2"/>
        <v>Pendiente</v>
      </c>
      <c r="AD24" s="391"/>
      <c r="AE24" s="403" t="str">
        <f t="shared" si="4"/>
        <v>Pendiente</v>
      </c>
      <c r="AF24" s="511"/>
      <c r="AG24" s="242"/>
      <c r="AI24" s="118"/>
    </row>
    <row r="25" spans="2:35" ht="181.5" customHeight="1" thickBot="1" x14ac:dyDescent="0.5">
      <c r="B25" s="629"/>
      <c r="C25" s="199">
        <v>4</v>
      </c>
      <c r="D25" s="200" t="s">
        <v>140</v>
      </c>
      <c r="E25" s="450" t="s">
        <v>479</v>
      </c>
      <c r="F25" s="404" t="s">
        <v>71</v>
      </c>
      <c r="G25" s="39" t="s">
        <v>80</v>
      </c>
      <c r="H25" s="204" t="e">
        <f>VLOOKUP(G25,$B$45:$C$46,2,0)</f>
        <v>#N/A</v>
      </c>
      <c r="I25" s="205">
        <v>2</v>
      </c>
      <c r="J25" s="21" t="s">
        <v>80</v>
      </c>
      <c r="K25" s="204" t="e">
        <f>VLOOKUP(J25,$B$49:$C$50,2,0)</f>
        <v>#N/A</v>
      </c>
      <c r="L25" s="205">
        <v>1</v>
      </c>
      <c r="M25" s="21" t="s">
        <v>80</v>
      </c>
      <c r="N25" s="405" t="e">
        <f>VLOOKUP(M25,$B$54:$C$55,2,0)</f>
        <v>#N/A</v>
      </c>
      <c r="O25" s="205">
        <v>2</v>
      </c>
      <c r="P25" s="21" t="s">
        <v>80</v>
      </c>
      <c r="Q25" s="204" t="e">
        <f>VLOOKUP(P25,$B$45:$C$46,2,0)</f>
        <v>#N/A</v>
      </c>
      <c r="R25" s="206">
        <v>2</v>
      </c>
      <c r="S25" s="203" t="str">
        <f t="shared" si="3"/>
        <v>-</v>
      </c>
      <c r="T25" s="204">
        <f t="shared" si="0"/>
        <v>10</v>
      </c>
      <c r="U25" s="41" t="str">
        <f t="shared" si="6"/>
        <v>Pendiente</v>
      </c>
      <c r="V25" s="22" t="str">
        <f>IF(COUNTIF(U19:U29,"Pendiente")&gt;0,"Pendiente",IF(U25="No aplica","No aplica",IF(U25&gt;=100%,"Muy Bajo",IF(U25&gt;=80%,"Bajo",IF(U25&gt;=60%,"Medio",IF(U25&gt;=40%,"Alto","Muy Alto"))))))</f>
        <v>Pendiente</v>
      </c>
      <c r="W25" s="208" t="str">
        <f t="shared" si="1"/>
        <v>Pendiente</v>
      </c>
      <c r="X25" s="319">
        <v>1</v>
      </c>
      <c r="Y25" s="23" t="str">
        <f t="shared" si="5"/>
        <v>Pendiente</v>
      </c>
      <c r="Z25" s="451">
        <v>1</v>
      </c>
      <c r="AA25" s="407" t="str">
        <f>IF($G$3="No","No aplica",+IF(COUNTIF(Y25,"Pendiente")&gt;0,"Pendiente",3*Y25*1.5))</f>
        <v>Pendiente</v>
      </c>
      <c r="AB25" s="435" t="s">
        <v>141</v>
      </c>
      <c r="AC25" s="163" t="str">
        <f t="shared" si="2"/>
        <v>Pendiente</v>
      </c>
      <c r="AD25" s="428"/>
      <c r="AE25" s="408" t="str">
        <f t="shared" si="4"/>
        <v>Pendiente</v>
      </c>
      <c r="AF25" s="215" t="str">
        <f>IF($G$3="No","No aplica",+IF(COUNTIF(AA25,"Pendiente")&gt;0,"Pendiente",IF(COUNTIF(AD19:AD29,"")&gt;0,"Pendiente",3*1.5*AE25)))</f>
        <v>Pendiente</v>
      </c>
      <c r="AG25" s="243"/>
      <c r="AI25" s="118"/>
    </row>
    <row r="26" spans="2:35" ht="275.5" customHeight="1" thickBot="1" x14ac:dyDescent="0.5">
      <c r="B26" s="629"/>
      <c r="C26" s="199">
        <v>5</v>
      </c>
      <c r="D26" s="200" t="s">
        <v>182</v>
      </c>
      <c r="E26" s="450" t="s">
        <v>480</v>
      </c>
      <c r="F26" s="404" t="s">
        <v>73</v>
      </c>
      <c r="G26" s="39" t="s">
        <v>80</v>
      </c>
      <c r="H26" s="204" t="e">
        <f t="shared" ref="H26" si="12">VLOOKUP(G26,$B$45:$C$46,2,0)</f>
        <v>#N/A</v>
      </c>
      <c r="I26" s="205">
        <v>2</v>
      </c>
      <c r="J26" s="21" t="s">
        <v>80</v>
      </c>
      <c r="K26" s="204" t="e">
        <f t="shared" ref="K26" si="13">VLOOKUP(J26,$B$49:$C$50,2,0)</f>
        <v>#N/A</v>
      </c>
      <c r="L26" s="205">
        <v>1</v>
      </c>
      <c r="M26" s="21" t="s">
        <v>80</v>
      </c>
      <c r="N26" s="405" t="e">
        <f t="shared" ref="N26" si="14">VLOOKUP(M26,$B$54:$C$55,2,0)</f>
        <v>#N/A</v>
      </c>
      <c r="O26" s="205">
        <v>2</v>
      </c>
      <c r="P26" s="21" t="s">
        <v>80</v>
      </c>
      <c r="Q26" s="204" t="e">
        <f t="shared" ref="Q26" si="15">VLOOKUP(P26,$B$45:$C$46,2,0)</f>
        <v>#N/A</v>
      </c>
      <c r="R26" s="206">
        <v>2</v>
      </c>
      <c r="S26" s="203" t="str">
        <f t="shared" si="3"/>
        <v>-</v>
      </c>
      <c r="T26" s="204">
        <f t="shared" si="0"/>
        <v>10</v>
      </c>
      <c r="U26" s="41" t="str">
        <f t="shared" si="6"/>
        <v>Pendiente</v>
      </c>
      <c r="V26" s="22" t="str">
        <f>IF(COUNTIF(U19:U29,"Pendiente")&gt;0,"Pendiente",IF(U26="No aplica","No aplica",IF(U26&gt;=100%,"Muy Bajo",IF(U26&gt;=80%,"Bajo",IF(U26&gt;=60%,"Medio",IF(U26&gt;=40%,"Alto","Muy Alto"))))))</f>
        <v>Pendiente</v>
      </c>
      <c r="W26" s="208" t="str">
        <f t="shared" si="1"/>
        <v>Pendiente</v>
      </c>
      <c r="X26" s="319">
        <v>1</v>
      </c>
      <c r="Y26" s="23" t="str">
        <f t="shared" ref="Y26" si="16">+W26</f>
        <v>Pendiente</v>
      </c>
      <c r="Z26" s="451">
        <v>1</v>
      </c>
      <c r="AA26" s="407" t="str">
        <f>IF($G$3="No","No aplica",+IF(COUNTIF(Y26,"Pendiente")&gt;0,"Pendiente",3*Y26*1.5))</f>
        <v>Pendiente</v>
      </c>
      <c r="AB26" s="435" t="s">
        <v>241</v>
      </c>
      <c r="AC26" s="163" t="str">
        <f t="shared" si="2"/>
        <v>Pendiente</v>
      </c>
      <c r="AD26" s="428"/>
      <c r="AE26" s="408" t="str">
        <f t="shared" si="4"/>
        <v>Pendiente</v>
      </c>
      <c r="AF26" s="215" t="str">
        <f>IF($G$3="No","No aplica",+IF(COUNTIF(AA26,"Pendiente")&gt;0,"Pendiente",IF(COUNTIF(AD19:AD29,"")&gt;0,"Pendiente",3*1.5*AE26)))</f>
        <v>Pendiente</v>
      </c>
      <c r="AG26" s="243"/>
      <c r="AI26" s="118"/>
    </row>
    <row r="27" spans="2:35" ht="280" customHeight="1" x14ac:dyDescent="0.45">
      <c r="B27" s="629"/>
      <c r="C27" s="525">
        <v>6</v>
      </c>
      <c r="D27" s="528" t="s">
        <v>222</v>
      </c>
      <c r="E27" s="437" t="s">
        <v>481</v>
      </c>
      <c r="F27" s="400" t="s">
        <v>77</v>
      </c>
      <c r="G27" s="35" t="s">
        <v>80</v>
      </c>
      <c r="H27" s="157" t="e">
        <f t="shared" ref="H27:H29" si="17">VLOOKUP(G27,$B$45:$C$46,2,0)</f>
        <v>#N/A</v>
      </c>
      <c r="I27" s="158">
        <v>2</v>
      </c>
      <c r="J27" s="10" t="s">
        <v>80</v>
      </c>
      <c r="K27" s="157" t="e">
        <f t="shared" ref="K27:K29" si="18">VLOOKUP(J27,$B$49:$C$50,2,0)</f>
        <v>#N/A</v>
      </c>
      <c r="L27" s="158">
        <v>1</v>
      </c>
      <c r="M27" s="10" t="s">
        <v>80</v>
      </c>
      <c r="N27" s="259" t="e">
        <f t="shared" ref="N27:N29" si="19">VLOOKUP(M27,$B$54:$C$55,2,0)</f>
        <v>#N/A</v>
      </c>
      <c r="O27" s="158">
        <v>2</v>
      </c>
      <c r="P27" s="10" t="s">
        <v>80</v>
      </c>
      <c r="Q27" s="157" t="e">
        <f t="shared" ref="Q27:Q29" si="20">VLOOKUP(P27,$B$45:$C$46,2,0)</f>
        <v>#N/A</v>
      </c>
      <c r="R27" s="159">
        <v>2</v>
      </c>
      <c r="S27" s="156" t="str">
        <f t="shared" si="3"/>
        <v>-</v>
      </c>
      <c r="T27" s="157">
        <f t="shared" si="0"/>
        <v>10</v>
      </c>
      <c r="U27" s="18" t="str">
        <f t="shared" si="6"/>
        <v>Pendiente</v>
      </c>
      <c r="V27" s="11" t="str">
        <f>IF(COUNTIF(U19:U29,"Pendiente")&gt;0,"Pendiente",IF(U27="No aplica","No aplica",IF(U27&gt;=100%,"Muy Bajo",IF(U27&gt;=80%,"Bajo",IF(U27&gt;=60%,"Medio",IF(U27&gt;=40%,"Alto","Muy Alto"))))))</f>
        <v>Pendiente</v>
      </c>
      <c r="W27" s="160" t="str">
        <f t="shared" si="1"/>
        <v>Pendiente</v>
      </c>
      <c r="X27" s="589">
        <v>1</v>
      </c>
      <c r="Y27" s="12" t="str">
        <f t="shared" ref="Y27:Y28" si="21">+W25</f>
        <v>Pendiente</v>
      </c>
      <c r="Z27" s="222">
        <v>1</v>
      </c>
      <c r="AA27" s="601" t="str">
        <f>IF($G$3="No","No aplica",+IF(COUNTIF(Y27:Y29,"Pendiente")&gt;0,"Pendiente",AVERAGE(3*Y27*1.5,3*Y28*1.5,3*Y29*1.5)))</f>
        <v>Pendiente</v>
      </c>
      <c r="AB27" s="431" t="s">
        <v>242</v>
      </c>
      <c r="AC27" s="163" t="str">
        <f t="shared" si="2"/>
        <v>Pendiente</v>
      </c>
      <c r="AD27" s="392"/>
      <c r="AE27" s="401" t="str">
        <f t="shared" si="4"/>
        <v>Pendiente</v>
      </c>
      <c r="AF27" s="510" t="str">
        <f>IF($G$3="No","No aplica",+IF(AA27="Pendiente","Pendiente",IF(COUNTIF(AD19:AD29,"")&gt;0,"Pendiente",AVERAGE(3*AE27*1.5,3*AE28*1.5,3*AE29*1.5))))</f>
        <v>Pendiente</v>
      </c>
      <c r="AG27" s="240"/>
      <c r="AI27" s="118"/>
    </row>
    <row r="28" spans="2:35" ht="180" customHeight="1" x14ac:dyDescent="0.45">
      <c r="B28" s="629"/>
      <c r="C28" s="526"/>
      <c r="D28" s="621"/>
      <c r="E28" s="452" t="s">
        <v>482</v>
      </c>
      <c r="F28" s="418" t="s">
        <v>96</v>
      </c>
      <c r="G28" s="36" t="s">
        <v>80</v>
      </c>
      <c r="H28" s="124" t="e">
        <f t="shared" si="17"/>
        <v>#N/A</v>
      </c>
      <c r="I28" s="169">
        <v>2</v>
      </c>
      <c r="J28" s="9" t="s">
        <v>80</v>
      </c>
      <c r="K28" s="124" t="e">
        <f t="shared" si="18"/>
        <v>#N/A</v>
      </c>
      <c r="L28" s="169">
        <v>1</v>
      </c>
      <c r="M28" s="9" t="s">
        <v>80</v>
      </c>
      <c r="N28" s="264" t="e">
        <f t="shared" si="19"/>
        <v>#N/A</v>
      </c>
      <c r="O28" s="169">
        <v>2</v>
      </c>
      <c r="P28" s="9" t="s">
        <v>80</v>
      </c>
      <c r="Q28" s="124" t="e">
        <f t="shared" si="20"/>
        <v>#N/A</v>
      </c>
      <c r="R28" s="170">
        <v>2</v>
      </c>
      <c r="S28" s="168" t="str">
        <f t="shared" si="3"/>
        <v>-</v>
      </c>
      <c r="T28" s="124">
        <f t="shared" si="0"/>
        <v>10</v>
      </c>
      <c r="U28" s="28" t="str">
        <f t="shared" si="6"/>
        <v>Pendiente</v>
      </c>
      <c r="V28" s="13" t="str">
        <f>IF(COUNTIF(U19:U29,"Pendiente")&gt;0,"Pendiente",IF(U28="No aplica","No aplica",IF(U28&gt;=100%,"Muy Bajo",IF(U28&gt;=80%,"Bajo",IF(U28&gt;=60%,"Medio",IF(U28&gt;=40%,"Alto","Muy Alto"))))))</f>
        <v>Pendiente</v>
      </c>
      <c r="W28" s="171" t="str">
        <f t="shared" si="1"/>
        <v>Pendiente</v>
      </c>
      <c r="X28" s="587"/>
      <c r="Y28" s="14" t="str">
        <f t="shared" si="21"/>
        <v>Pendiente</v>
      </c>
      <c r="Z28" s="172">
        <v>1</v>
      </c>
      <c r="AA28" s="602"/>
      <c r="AB28" s="440" t="s">
        <v>243</v>
      </c>
      <c r="AC28" s="345" t="str">
        <f t="shared" si="2"/>
        <v>Pendiente</v>
      </c>
      <c r="AD28" s="390"/>
      <c r="AE28" s="419" t="str">
        <f t="shared" si="4"/>
        <v>Pendiente</v>
      </c>
      <c r="AF28" s="512"/>
      <c r="AG28" s="241"/>
      <c r="AI28" s="118"/>
    </row>
    <row r="29" spans="2:35" ht="313.5" customHeight="1" thickBot="1" x14ac:dyDescent="0.5">
      <c r="B29" s="630"/>
      <c r="C29" s="527"/>
      <c r="D29" s="530"/>
      <c r="E29" s="228" t="s">
        <v>483</v>
      </c>
      <c r="F29" s="402" t="s">
        <v>149</v>
      </c>
      <c r="G29" s="44" t="s">
        <v>80</v>
      </c>
      <c r="H29" s="192" t="e">
        <f t="shared" si="17"/>
        <v>#N/A</v>
      </c>
      <c r="I29" s="193">
        <v>2</v>
      </c>
      <c r="J29" s="25" t="s">
        <v>80</v>
      </c>
      <c r="K29" s="192" t="e">
        <f t="shared" si="18"/>
        <v>#N/A</v>
      </c>
      <c r="L29" s="193">
        <v>1</v>
      </c>
      <c r="M29" s="25" t="s">
        <v>80</v>
      </c>
      <c r="N29" s="271" t="e">
        <f t="shared" si="19"/>
        <v>#N/A</v>
      </c>
      <c r="O29" s="193">
        <v>2</v>
      </c>
      <c r="P29" s="25" t="s">
        <v>80</v>
      </c>
      <c r="Q29" s="192" t="e">
        <f t="shared" si="20"/>
        <v>#N/A</v>
      </c>
      <c r="R29" s="194">
        <v>2</v>
      </c>
      <c r="S29" s="191" t="str">
        <f t="shared" si="3"/>
        <v>-</v>
      </c>
      <c r="T29" s="192">
        <f t="shared" si="0"/>
        <v>10</v>
      </c>
      <c r="U29" s="29" t="str">
        <f t="shared" si="6"/>
        <v>Pendiente</v>
      </c>
      <c r="V29" s="26" t="str">
        <f>IF(COUNTIF(U19:U29,"Pendiente")&gt;0,"Pendiente",IF(U29="No aplica","No aplica",IF(U29&gt;=100%,"Muy Bajo",IF(U29&gt;=80%,"Bajo",IF(U29&gt;=60%,"Medio",IF(U29&gt;=40%,"Alto","Muy Alto"))))))</f>
        <v>Pendiente</v>
      </c>
      <c r="W29" s="196" t="str">
        <f t="shared" si="1"/>
        <v>Pendiente</v>
      </c>
      <c r="X29" s="588"/>
      <c r="Y29" s="27" t="str">
        <f>+W27</f>
        <v>Pendiente</v>
      </c>
      <c r="Z29" s="184">
        <v>1</v>
      </c>
      <c r="AA29" s="603"/>
      <c r="AB29" s="433" t="s">
        <v>244</v>
      </c>
      <c r="AC29" s="381" t="str">
        <f t="shared" si="2"/>
        <v>Pendiente</v>
      </c>
      <c r="AD29" s="391"/>
      <c r="AE29" s="403" t="str">
        <f t="shared" si="4"/>
        <v>Pendiente</v>
      </c>
      <c r="AF29" s="511"/>
      <c r="AG29" s="242"/>
      <c r="AI29" s="118"/>
    </row>
    <row r="30" spans="2:35" hidden="1" x14ac:dyDescent="0.45">
      <c r="F30" s="593"/>
      <c r="G30" s="555"/>
      <c r="H30" s="555"/>
      <c r="I30" s="555"/>
      <c r="J30" s="555"/>
      <c r="K30" s="555"/>
      <c r="L30" s="555"/>
      <c r="M30" s="555"/>
      <c r="N30" s="555"/>
      <c r="O30" s="555"/>
      <c r="P30" s="555"/>
      <c r="Q30" s="555"/>
      <c r="R30" s="555"/>
      <c r="S30" s="555"/>
      <c r="T30" s="555"/>
      <c r="U30" s="555"/>
      <c r="V30" s="555"/>
      <c r="W30" s="555"/>
      <c r="X30" s="555"/>
      <c r="Y30" s="555"/>
      <c r="Z30" s="555"/>
      <c r="AA30" s="555"/>
      <c r="AB30" s="555"/>
      <c r="AC30" s="555"/>
      <c r="AD30" s="555"/>
      <c r="AE30" s="594"/>
      <c r="AF30" s="595" t="str">
        <f>IF($G$3="No","No aplica",IF(COUNTIF(AF19:AF29,"Pendiente")&gt;0,"Pendiente",IF(AND(V19="Muy Alto",AD19="No",V23="Muy Alto",AD23="No",V24="Muy Alto",AD24="No"),90%+SUM(AF21:AF22,AF25:AF29)*0.9/(35.1-8.1-10.8),IF(AND(V19="Muy Alto",AD19="No",V23="Muy Alto",AD23="No"),60%+SUM(AF21:AF22,AF25:AF29)*0.9/(35.1-8.1-10.8),IF(AND(V19="Muy Alto",AD19="No",V24="Muy Alto",AD24="No"),60%+SUM(AF21:AF22,AF25:AF29)*0.9/(35.1-8.1-10.8),IF(AND(V23="Muy Alto",AD23="No",V24="Muy Alto",AD24="No"),60%+SUM(AF19:AF22,AF25:AF29)*0.9/(35.1-10.8),IF(AND(V19="Muy Alto",AD19="No"),30%+SUM(AF21:AF29)*0.9/(35.1-8.1),IF(AND(V23="Muy Alto",AD23="No"),30%+SUM(AF19:AF22,AF25:AF29)*0.9/(35.1-10.8),IF(AND(V24="Muy Alto",AD24="No"),30%+SUM(AF19:AF22,AF25:AF29)*0.9/(35.1-10.8),SUM(AF19:AF29)*0.9/35.1)))))))))</f>
        <v>Pendiente</v>
      </c>
      <c r="AI30" s="118"/>
    </row>
    <row r="31" spans="2:35" ht="19" hidden="1" thickBot="1" x14ac:dyDescent="0.5">
      <c r="F31" s="550"/>
      <c r="G31" s="551"/>
      <c r="H31" s="551"/>
      <c r="I31" s="551"/>
      <c r="J31" s="551"/>
      <c r="K31" s="551"/>
      <c r="L31" s="551"/>
      <c r="M31" s="551"/>
      <c r="N31" s="551"/>
      <c r="O31" s="551"/>
      <c r="P31" s="551"/>
      <c r="Q31" s="551"/>
      <c r="R31" s="551"/>
      <c r="S31" s="551"/>
      <c r="T31" s="551"/>
      <c r="U31" s="551"/>
      <c r="V31" s="551"/>
      <c r="W31" s="551"/>
      <c r="X31" s="551"/>
      <c r="Y31" s="551"/>
      <c r="Z31" s="551"/>
      <c r="AA31" s="551"/>
      <c r="AB31" s="551"/>
      <c r="AC31" s="551"/>
      <c r="AD31" s="551"/>
      <c r="AE31" s="552"/>
      <c r="AF31" s="596"/>
    </row>
    <row r="32" spans="2:35" x14ac:dyDescent="0.45">
      <c r="F32" s="593" t="s">
        <v>469</v>
      </c>
      <c r="G32" s="555"/>
      <c r="H32" s="555"/>
      <c r="I32" s="555"/>
      <c r="J32" s="555"/>
      <c r="K32" s="555"/>
      <c r="L32" s="555"/>
      <c r="M32" s="555"/>
      <c r="N32" s="555"/>
      <c r="O32" s="555"/>
      <c r="P32" s="555"/>
      <c r="Q32" s="555"/>
      <c r="R32" s="555"/>
      <c r="S32" s="555"/>
      <c r="T32" s="555"/>
      <c r="U32" s="555"/>
      <c r="V32" s="555"/>
      <c r="W32" s="555"/>
      <c r="X32" s="555"/>
      <c r="Y32" s="555"/>
      <c r="Z32" s="555"/>
      <c r="AA32" s="555"/>
      <c r="AB32" s="555"/>
      <c r="AC32" s="555"/>
      <c r="AD32" s="555"/>
      <c r="AE32" s="594"/>
      <c r="AF32" s="595" t="str">
        <f>IF($G$3="No","No aplica",IF(COUNTIF(AF19:AF29,"Pendiente")&gt;0,"Pendiente",IF(AF30&gt;=90%,90%,AF30)))</f>
        <v>Pendiente</v>
      </c>
    </row>
    <row r="33" spans="2:32" ht="19" thickBot="1" x14ac:dyDescent="0.5">
      <c r="F33" s="550"/>
      <c r="G33" s="551"/>
      <c r="H33" s="551"/>
      <c r="I33" s="551"/>
      <c r="J33" s="551"/>
      <c r="K33" s="551"/>
      <c r="L33" s="551"/>
      <c r="M33" s="551"/>
      <c r="N33" s="551"/>
      <c r="O33" s="551"/>
      <c r="P33" s="551"/>
      <c r="Q33" s="551"/>
      <c r="R33" s="551"/>
      <c r="S33" s="551"/>
      <c r="T33" s="551"/>
      <c r="U33" s="551"/>
      <c r="V33" s="551"/>
      <c r="W33" s="551"/>
      <c r="X33" s="551"/>
      <c r="Y33" s="551"/>
      <c r="Z33" s="551"/>
      <c r="AA33" s="551"/>
      <c r="AB33" s="551"/>
      <c r="AC33" s="551"/>
      <c r="AD33" s="551"/>
      <c r="AE33" s="552"/>
      <c r="AF33" s="596"/>
    </row>
    <row r="34" spans="2:32" x14ac:dyDescent="0.45">
      <c r="B34" s="497"/>
      <c r="C34" s="497"/>
      <c r="D34" s="500"/>
      <c r="E34" s="497"/>
    </row>
    <row r="35" spans="2:32" x14ac:dyDescent="0.45">
      <c r="B35" s="497"/>
      <c r="C35" s="497"/>
      <c r="D35" s="500"/>
      <c r="E35" s="497"/>
    </row>
    <row r="36" spans="2:32" x14ac:dyDescent="0.45">
      <c r="B36" s="499" t="s">
        <v>80</v>
      </c>
      <c r="C36" s="497"/>
      <c r="D36" s="500"/>
      <c r="E36" s="497"/>
    </row>
    <row r="37" spans="2:32" x14ac:dyDescent="0.45">
      <c r="B37" s="499" t="s">
        <v>44</v>
      </c>
      <c r="C37" s="497"/>
      <c r="D37" s="500"/>
      <c r="E37" s="497"/>
    </row>
    <row r="38" spans="2:32" x14ac:dyDescent="0.45">
      <c r="B38" s="499" t="s">
        <v>64</v>
      </c>
      <c r="C38" s="497"/>
      <c r="D38" s="500"/>
      <c r="E38" s="497"/>
    </row>
    <row r="39" spans="2:32" x14ac:dyDescent="0.45">
      <c r="B39" s="497"/>
      <c r="C39" s="497"/>
      <c r="D39" s="500"/>
      <c r="E39" s="497"/>
    </row>
    <row r="40" spans="2:32" x14ac:dyDescent="0.45">
      <c r="B40" s="499" t="s">
        <v>80</v>
      </c>
      <c r="C40" s="497"/>
      <c r="D40" s="500"/>
      <c r="E40" s="497"/>
    </row>
    <row r="41" spans="2:32" x14ac:dyDescent="0.45">
      <c r="B41" s="499" t="s">
        <v>44</v>
      </c>
      <c r="C41" s="498">
        <v>1</v>
      </c>
      <c r="D41" s="501" t="s">
        <v>46</v>
      </c>
      <c r="E41" s="497"/>
    </row>
    <row r="42" spans="2:32" x14ac:dyDescent="0.45">
      <c r="B42" s="499" t="s">
        <v>64</v>
      </c>
      <c r="C42" s="498">
        <v>3</v>
      </c>
      <c r="D42" s="500"/>
      <c r="E42" s="497"/>
    </row>
    <row r="43" spans="2:32" x14ac:dyDescent="0.45">
      <c r="B43" s="497"/>
      <c r="C43" s="497"/>
      <c r="D43" s="500"/>
      <c r="E43" s="497"/>
    </row>
    <row r="44" spans="2:32" x14ac:dyDescent="0.45">
      <c r="B44" s="499" t="s">
        <v>80</v>
      </c>
      <c r="C44" s="497"/>
      <c r="D44" s="500"/>
      <c r="E44" s="497"/>
    </row>
    <row r="45" spans="2:32" x14ac:dyDescent="0.45">
      <c r="B45" s="499" t="s">
        <v>44</v>
      </c>
      <c r="C45" s="498">
        <v>2</v>
      </c>
      <c r="D45" s="501" t="s">
        <v>81</v>
      </c>
      <c r="E45" s="497"/>
    </row>
    <row r="46" spans="2:32" x14ac:dyDescent="0.45">
      <c r="B46" s="499" t="s">
        <v>64</v>
      </c>
      <c r="C46" s="498">
        <v>0</v>
      </c>
      <c r="D46" s="500"/>
      <c r="E46" s="497"/>
    </row>
    <row r="47" spans="2:32" x14ac:dyDescent="0.45">
      <c r="B47" s="497"/>
      <c r="C47" s="497"/>
      <c r="D47" s="500"/>
      <c r="E47" s="497"/>
    </row>
    <row r="48" spans="2:32" x14ac:dyDescent="0.45">
      <c r="B48" s="499" t="s">
        <v>80</v>
      </c>
      <c r="C48" s="497"/>
      <c r="D48" s="500"/>
      <c r="E48" s="497"/>
    </row>
    <row r="49" spans="2:5" x14ac:dyDescent="0.45">
      <c r="B49" s="499" t="s">
        <v>44</v>
      </c>
      <c r="C49" s="498">
        <v>0</v>
      </c>
      <c r="D49" s="501" t="s">
        <v>50</v>
      </c>
      <c r="E49" s="497"/>
    </row>
    <row r="50" spans="2:5" x14ac:dyDescent="0.45">
      <c r="B50" s="499" t="s">
        <v>64</v>
      </c>
      <c r="C50" s="498">
        <v>1</v>
      </c>
      <c r="D50" s="500"/>
      <c r="E50" s="497"/>
    </row>
    <row r="51" spans="2:5" x14ac:dyDescent="0.45">
      <c r="B51" s="497"/>
      <c r="C51" s="497"/>
      <c r="D51" s="500"/>
      <c r="E51" s="497"/>
    </row>
    <row r="52" spans="2:5" x14ac:dyDescent="0.45">
      <c r="B52" s="497"/>
      <c r="C52" s="497"/>
      <c r="D52" s="500"/>
      <c r="E52" s="497"/>
    </row>
    <row r="53" spans="2:5" x14ac:dyDescent="0.45">
      <c r="B53" s="499" t="s">
        <v>80</v>
      </c>
      <c r="C53" s="497"/>
      <c r="D53" s="500"/>
      <c r="E53" s="497"/>
    </row>
    <row r="54" spans="2:5" x14ac:dyDescent="0.45">
      <c r="B54" s="499" t="s">
        <v>44</v>
      </c>
      <c r="C54" s="498">
        <v>0</v>
      </c>
      <c r="D54" s="501" t="s">
        <v>51</v>
      </c>
      <c r="E54" s="497"/>
    </row>
    <row r="55" spans="2:5" x14ac:dyDescent="0.45">
      <c r="B55" s="499" t="s">
        <v>64</v>
      </c>
      <c r="C55" s="498">
        <v>2</v>
      </c>
      <c r="D55" s="500"/>
      <c r="E55" s="497"/>
    </row>
    <row r="56" spans="2:5" x14ac:dyDescent="0.45">
      <c r="B56" s="497"/>
      <c r="C56" s="497"/>
      <c r="D56" s="500"/>
      <c r="E56" s="497"/>
    </row>
    <row r="57" spans="2:5" x14ac:dyDescent="0.45">
      <c r="B57" s="497"/>
      <c r="C57" s="497"/>
      <c r="D57" s="500"/>
      <c r="E57" s="497"/>
    </row>
    <row r="58" spans="2:5" x14ac:dyDescent="0.45">
      <c r="B58" s="497"/>
      <c r="C58" s="497"/>
      <c r="D58" s="500"/>
      <c r="E58" s="497"/>
    </row>
  </sheetData>
  <sheetProtection algorithmName="SHA-512" hashValue="PB87OMPdvbf2KSO7gii5WK6oTw92DsVo41DgHoRcEzYz/geyUrF6iCy/XzPICXzUimK5jYeKL3wgEX/x/h3iDw==" saltValue="8s44S1BTMma28VhqErEByg==" spinCount="100000" sheet="1" objects="1" scenarios="1"/>
  <mergeCells count="37">
    <mergeCell ref="F32:AE33"/>
    <mergeCell ref="AF32:AF33"/>
    <mergeCell ref="B19:B29"/>
    <mergeCell ref="C21:C22"/>
    <mergeCell ref="D21:D22"/>
    <mergeCell ref="AA21:AA22"/>
    <mergeCell ref="C23:C24"/>
    <mergeCell ref="D23:D24"/>
    <mergeCell ref="AA23:AA24"/>
    <mergeCell ref="F30:AE31"/>
    <mergeCell ref="AF30:AF31"/>
    <mergeCell ref="AF27:AF29"/>
    <mergeCell ref="AF23:AF24"/>
    <mergeCell ref="X23:X24"/>
    <mergeCell ref="C27:C29"/>
    <mergeCell ref="D27:D29"/>
    <mergeCell ref="AF21:AF22"/>
    <mergeCell ref="C19:C20"/>
    <mergeCell ref="D19:D20"/>
    <mergeCell ref="AA19:AA20"/>
    <mergeCell ref="AF19:AF20"/>
    <mergeCell ref="X19:X20"/>
    <mergeCell ref="X21:X22"/>
    <mergeCell ref="X27:X29"/>
    <mergeCell ref="AA27:AA29"/>
    <mergeCell ref="AC18:AD18"/>
    <mergeCell ref="D1:E1"/>
    <mergeCell ref="D5:E5"/>
    <mergeCell ref="D10:E10"/>
    <mergeCell ref="E18:F18"/>
    <mergeCell ref="C18:D18"/>
    <mergeCell ref="E15:F15"/>
    <mergeCell ref="E14:F14"/>
    <mergeCell ref="E13:F13"/>
    <mergeCell ref="E12:F12"/>
    <mergeCell ref="E8:F8"/>
    <mergeCell ref="E3:F3"/>
  </mergeCells>
  <phoneticPr fontId="4" type="noConversion"/>
  <conditionalFormatting sqref="G3">
    <cfRule type="cellIs" dxfId="76" priority="48" stopIfTrue="1" operator="equal">
      <formula>"-"</formula>
    </cfRule>
  </conditionalFormatting>
  <conditionalFormatting sqref="G8">
    <cfRule type="cellIs" dxfId="75" priority="47" stopIfTrue="1" operator="equal">
      <formula>"-"</formula>
    </cfRule>
  </conditionalFormatting>
  <conditionalFormatting sqref="G19:P29">
    <cfRule type="cellIs" dxfId="74" priority="6" stopIfTrue="1" operator="equal">
      <formula>"-"</formula>
    </cfRule>
  </conditionalFormatting>
  <conditionalFormatting sqref="U19:U29">
    <cfRule type="expression" dxfId="73" priority="33">
      <formula>+$U19="pendiente"</formula>
    </cfRule>
  </conditionalFormatting>
  <conditionalFormatting sqref="V19:V29">
    <cfRule type="expression" dxfId="72" priority="44">
      <formula>+$V19="Muy Bajo"</formula>
    </cfRule>
    <cfRule type="expression" dxfId="71" priority="43">
      <formula>+$V19="Bajo"</formula>
    </cfRule>
    <cfRule type="expression" dxfId="70" priority="42">
      <formula>+$V19="Medio"</formula>
    </cfRule>
    <cfRule type="expression" dxfId="69" priority="41">
      <formula>+$V19="Alto"</formula>
    </cfRule>
    <cfRule type="expression" dxfId="68" priority="40">
      <formula>+$V19="Muy Alto"</formula>
    </cfRule>
    <cfRule type="expression" dxfId="67" priority="32">
      <formula>+$V19="pendiente"</formula>
    </cfRule>
  </conditionalFormatting>
  <conditionalFormatting sqref="W19:W29">
    <cfRule type="expression" dxfId="66" priority="31">
      <formula>+$W19="pendiente"</formula>
    </cfRule>
  </conditionalFormatting>
  <conditionalFormatting sqref="Y19:Y29">
    <cfRule type="expression" dxfId="65" priority="30">
      <formula>+$Y19="pendiente"</formula>
    </cfRule>
  </conditionalFormatting>
  <conditionalFormatting sqref="AA19:AA29">
    <cfRule type="expression" dxfId="64" priority="29">
      <formula>+$AA19="pendiente"</formula>
    </cfRule>
  </conditionalFormatting>
  <conditionalFormatting sqref="AC19:AC29">
    <cfRule type="cellIs" dxfId="63" priority="12" operator="equal">
      <formula>"En la siguiente columna responda NO"</formula>
    </cfRule>
  </conditionalFormatting>
  <conditionalFormatting sqref="AD19:AD29">
    <cfRule type="cellIs" dxfId="62" priority="10" operator="equal">
      <formula>"No"</formula>
    </cfRule>
    <cfRule type="cellIs" dxfId="61" priority="11" operator="equal">
      <formula>"Sí"</formula>
    </cfRule>
  </conditionalFormatting>
  <conditionalFormatting sqref="AE19:AE29">
    <cfRule type="expression" dxfId="60" priority="9">
      <formula>+$AE19="pendiente"</formula>
    </cfRule>
  </conditionalFormatting>
  <conditionalFormatting sqref="AF19:AF26">
    <cfRule type="colorScale" priority="174">
      <colorScale>
        <cfvo type="min"/>
        <cfvo type="percentile" val="50"/>
        <cfvo type="max"/>
        <color rgb="FFF8696B"/>
        <color rgb="FFFFEB84"/>
        <color rgb="FF63BE7B"/>
      </colorScale>
    </cfRule>
  </conditionalFormatting>
  <conditionalFormatting sqref="AF19:AF29">
    <cfRule type="expression" dxfId="59" priority="27">
      <formula>+$AF19="pendiente"</formula>
    </cfRule>
    <cfRule type="cellIs" dxfId="58" priority="34" operator="between">
      <formula>0</formula>
      <formula>1.3499999</formula>
    </cfRule>
    <cfRule type="cellIs" dxfId="57" priority="35" operator="between">
      <formula>1.35</formula>
      <formula>2.699999</formula>
    </cfRule>
    <cfRule type="cellIs" dxfId="56" priority="36" operator="between">
      <formula>2.7</formula>
      <formula>5.399999</formula>
    </cfRule>
    <cfRule type="cellIs" dxfId="55" priority="37" operator="between">
      <formula>5.4</formula>
      <formula>10.8</formula>
    </cfRule>
  </conditionalFormatting>
  <conditionalFormatting sqref="AF27:AF29">
    <cfRule type="colorScale" priority="38">
      <colorScale>
        <cfvo type="min"/>
        <cfvo type="percentile" val="50"/>
        <cfvo type="max"/>
        <color rgb="FFF8696B"/>
        <color rgb="FFFFEB84"/>
        <color rgb="FF63BE7B"/>
      </colorScale>
    </cfRule>
  </conditionalFormatting>
  <conditionalFormatting sqref="AF30">
    <cfRule type="cellIs" dxfId="54" priority="20" operator="between">
      <formula>0.5</formula>
      <formula>100</formula>
    </cfRule>
    <cfRule type="cellIs" dxfId="53" priority="19" operator="between">
      <formula>0.25</formula>
      <formula>0.49999</formula>
    </cfRule>
    <cfRule type="cellIs" dxfId="52" priority="18" operator="between">
      <formula>0.1</formula>
      <formula>0.24999</formula>
    </cfRule>
    <cfRule type="cellIs" dxfId="51" priority="17" operator="between">
      <formula>0</formula>
      <formula>0.0999</formula>
    </cfRule>
    <cfRule type="containsText" dxfId="50" priority="16" operator="containsText" text="pendiente">
      <formula>NOT(ISERROR(SEARCH("pendiente",AF30)))</formula>
    </cfRule>
  </conditionalFormatting>
  <conditionalFormatting sqref="AF32">
    <cfRule type="cellIs" dxfId="49" priority="5" operator="between">
      <formula>0.5</formula>
      <formula>100</formula>
    </cfRule>
    <cfRule type="cellIs" dxfId="48" priority="4" operator="between">
      <formula>0.25</formula>
      <formula>0.499999</formula>
    </cfRule>
    <cfRule type="cellIs" dxfId="47" priority="3" operator="between">
      <formula>0.1</formula>
      <formula>0.24999</formula>
    </cfRule>
    <cfRule type="cellIs" dxfId="46" priority="2" operator="between">
      <formula>0</formula>
      <formula>0.09999</formula>
    </cfRule>
    <cfRule type="cellIs" dxfId="45" priority="1" operator="equal">
      <formula>"pendiente"</formula>
    </cfRule>
  </conditionalFormatting>
  <dataValidations count="5">
    <dataValidation type="list" allowBlank="1" showInputMessage="1" showErrorMessage="1" sqref="F9:F11" xr:uid="{572F83DE-75D3-4B37-B7F5-8DE1F7AEB108}">
      <formula1>$C$71:$C$72</formula1>
    </dataValidation>
    <dataValidation type="list" allowBlank="1" showInputMessage="1" showErrorMessage="1" sqref="G8" xr:uid="{39CDDF7A-45DF-400C-AB70-0BD4A9071993}">
      <formula1>$B$40:$B$42</formula1>
    </dataValidation>
    <dataValidation type="list" allowBlank="1" showInputMessage="1" showErrorMessage="1" sqref="G3" xr:uid="{5884D134-8BBC-4CC1-8C2E-C7FDD65987DF}">
      <formula1>$B$36:$B$38</formula1>
    </dataValidation>
    <dataValidation type="list" allowBlank="1" showInputMessage="1" showErrorMessage="1" sqref="P19:P29 G19:G29 M19:M29 J19:J29" xr:uid="{2CC8C645-A0F8-4BEA-AA19-1542F92F251D}">
      <formula1>$B$48:$B$50</formula1>
    </dataValidation>
    <dataValidation type="list" allowBlank="1" showInputMessage="1" showErrorMessage="1" sqref="AD19:AD29" xr:uid="{E8374F31-503B-47FF-BF6B-3FAFAB580BAB}">
      <formula1>"Sí,No"</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4A29C-8ABD-4181-8EE1-52EAFCA6C1B3}">
  <sheetPr codeName="Sheet3"/>
  <dimension ref="A1:AI59"/>
  <sheetViews>
    <sheetView showGridLines="0" zoomScale="40" zoomScaleNormal="40" workbookViewId="0">
      <selection activeCell="AF35" sqref="AF35:AF36"/>
    </sheetView>
  </sheetViews>
  <sheetFormatPr defaultColWidth="8.7265625" defaultRowHeight="18.5" x14ac:dyDescent="0.45"/>
  <cols>
    <col min="1" max="3" width="8.7265625" style="115"/>
    <col min="4" max="4" width="22" style="239" customWidth="1"/>
    <col min="5" max="5" width="95.453125" style="115" customWidth="1"/>
    <col min="6" max="6" width="6.7265625" style="115" customWidth="1"/>
    <col min="7" max="7" width="8.7265625" style="115" customWidth="1"/>
    <col min="8" max="8" width="8.7265625" style="115" hidden="1" customWidth="1"/>
    <col min="9" max="9" width="10.81640625" style="115" hidden="1" customWidth="1"/>
    <col min="10" max="10" width="8.7265625" style="115" customWidth="1"/>
    <col min="11" max="12" width="8.7265625" style="115" hidden="1" customWidth="1"/>
    <col min="13" max="13" width="8.7265625" style="115" customWidth="1"/>
    <col min="14" max="15" width="8.7265625" style="115" hidden="1" customWidth="1"/>
    <col min="16" max="16" width="8.7265625" style="115" customWidth="1"/>
    <col min="17" max="18" width="8.7265625" style="115" hidden="1" customWidth="1"/>
    <col min="19" max="19" width="11.1796875" style="115" hidden="1" customWidth="1"/>
    <col min="20" max="20" width="14.453125" style="115" hidden="1" customWidth="1"/>
    <col min="21" max="21" width="19.54296875" style="115" hidden="1" customWidth="1"/>
    <col min="22" max="22" width="16.26953125" style="115" customWidth="1"/>
    <col min="23" max="23" width="20.1796875" style="115" customWidth="1"/>
    <col min="24" max="24" width="18.26953125" style="119" customWidth="1"/>
    <col min="25" max="25" width="20.453125" style="115" customWidth="1"/>
    <col min="26" max="26" width="23.1796875" style="119" customWidth="1"/>
    <col min="27" max="27" width="18.81640625" style="115" customWidth="1"/>
    <col min="28" max="29" width="81.7265625" style="115" customWidth="1"/>
    <col min="30" max="30" width="15.453125" style="252" customWidth="1"/>
    <col min="31" max="31" width="26.81640625" style="453" customWidth="1"/>
    <col min="32" max="32" width="19.7265625" style="335" customWidth="1"/>
    <col min="33" max="33" width="20.54296875" style="115" customWidth="1"/>
    <col min="34" max="16384" width="8.7265625" style="115"/>
  </cols>
  <sheetData>
    <row r="1" spans="3:32" x14ac:dyDescent="0.45">
      <c r="D1" s="513" t="s">
        <v>343</v>
      </c>
      <c r="E1" s="513"/>
      <c r="F1" s="117"/>
      <c r="G1" s="117"/>
      <c r="H1" s="117"/>
    </row>
    <row r="2" spans="3:32" x14ac:dyDescent="0.45">
      <c r="D2" s="115"/>
      <c r="G2" s="122" t="s">
        <v>43</v>
      </c>
      <c r="H2" s="117"/>
      <c r="I2" s="117"/>
    </row>
    <row r="3" spans="3:32" x14ac:dyDescent="0.45">
      <c r="D3" s="123" t="s">
        <v>43</v>
      </c>
      <c r="E3" s="523" t="s">
        <v>486</v>
      </c>
      <c r="F3" s="523"/>
      <c r="G3" s="9" t="s">
        <v>80</v>
      </c>
      <c r="H3" s="117"/>
      <c r="I3" s="117"/>
    </row>
    <row r="4" spans="3:32" x14ac:dyDescent="0.45">
      <c r="D4" s="115"/>
      <c r="G4" s="117"/>
      <c r="H4" s="117"/>
      <c r="I4" s="117"/>
    </row>
    <row r="5" spans="3:32" x14ac:dyDescent="0.45">
      <c r="D5" s="513" t="s">
        <v>45</v>
      </c>
      <c r="E5" s="513"/>
      <c r="G5" s="117"/>
      <c r="H5" s="117"/>
      <c r="I5" s="117"/>
    </row>
    <row r="6" spans="3:32" x14ac:dyDescent="0.45">
      <c r="D6" s="116"/>
      <c r="E6" s="116"/>
      <c r="G6" s="117"/>
      <c r="H6" s="117"/>
      <c r="I6" s="117"/>
    </row>
    <row r="7" spans="3:32" x14ac:dyDescent="0.45">
      <c r="D7" s="115"/>
      <c r="G7" s="122" t="s">
        <v>46</v>
      </c>
      <c r="H7" s="117"/>
      <c r="I7" s="117"/>
    </row>
    <row r="8" spans="3:32" ht="92.5" customHeight="1" x14ac:dyDescent="0.45">
      <c r="D8" s="123" t="s">
        <v>46</v>
      </c>
      <c r="E8" s="524" t="s">
        <v>506</v>
      </c>
      <c r="F8" s="524"/>
      <c r="G8" s="9" t="s">
        <v>80</v>
      </c>
      <c r="H8" s="124" t="e">
        <f>VLOOKUP(G8,$B$42:$C$43,2,0)</f>
        <v>#N/A</v>
      </c>
      <c r="I8" s="124">
        <v>3</v>
      </c>
    </row>
    <row r="9" spans="3:32" x14ac:dyDescent="0.45">
      <c r="D9" s="125"/>
      <c r="E9" s="126"/>
      <c r="F9" s="127"/>
      <c r="G9" s="117"/>
      <c r="H9" s="117"/>
    </row>
    <row r="10" spans="3:32" x14ac:dyDescent="0.45">
      <c r="D10" s="514" t="s">
        <v>47</v>
      </c>
      <c r="E10" s="514"/>
      <c r="F10" s="127"/>
      <c r="G10" s="117"/>
      <c r="H10" s="117"/>
    </row>
    <row r="11" spans="3:32" x14ac:dyDescent="0.45">
      <c r="D11" s="125"/>
      <c r="E11" s="126"/>
      <c r="F11" s="127"/>
      <c r="G11" s="117"/>
      <c r="H11" s="117"/>
    </row>
    <row r="12" spans="3:32" ht="55.5" customHeight="1" x14ac:dyDescent="0.45">
      <c r="D12" s="128" t="s">
        <v>48</v>
      </c>
      <c r="E12" s="524" t="s">
        <v>49</v>
      </c>
      <c r="F12" s="524"/>
      <c r="G12" s="253"/>
      <c r="H12" s="253"/>
      <c r="M12" s="117"/>
    </row>
    <row r="13" spans="3:32" ht="149.5" customHeight="1" x14ac:dyDescent="0.45">
      <c r="D13" s="130" t="s">
        <v>50</v>
      </c>
      <c r="E13" s="524" t="s">
        <v>533</v>
      </c>
      <c r="F13" s="524"/>
      <c r="G13" s="253"/>
      <c r="H13" s="253"/>
    </row>
    <row r="14" spans="3:32" ht="129.5" customHeight="1" x14ac:dyDescent="0.45">
      <c r="D14" s="131" t="s">
        <v>51</v>
      </c>
      <c r="E14" s="524" t="s">
        <v>363</v>
      </c>
      <c r="F14" s="524"/>
      <c r="G14" s="253"/>
      <c r="H14" s="253"/>
    </row>
    <row r="15" spans="3:32" ht="46.5" customHeight="1" x14ac:dyDescent="0.45">
      <c r="D15" s="132" t="s">
        <v>52</v>
      </c>
      <c r="E15" s="524" t="s">
        <v>53</v>
      </c>
      <c r="F15" s="524"/>
      <c r="G15" s="253"/>
      <c r="H15" s="253"/>
    </row>
    <row r="16" spans="3:32" x14ac:dyDescent="0.45">
      <c r="C16" s="117"/>
      <c r="D16" s="133"/>
      <c r="E16" s="117"/>
      <c r="F16" s="117"/>
      <c r="G16" s="117"/>
      <c r="H16" s="117"/>
      <c r="I16" s="117"/>
      <c r="J16" s="117"/>
      <c r="K16" s="117"/>
      <c r="L16" s="117"/>
      <c r="M16" s="117"/>
      <c r="N16" s="117"/>
      <c r="O16" s="117"/>
      <c r="P16" s="117"/>
      <c r="Q16" s="117"/>
      <c r="R16" s="117"/>
      <c r="S16" s="117"/>
      <c r="T16" s="117"/>
      <c r="U16" s="117"/>
      <c r="V16" s="117"/>
      <c r="W16" s="117"/>
      <c r="AB16" s="117"/>
      <c r="AC16" s="117"/>
      <c r="AD16" s="120"/>
      <c r="AE16" s="454"/>
      <c r="AF16" s="455"/>
    </row>
    <row r="17" spans="2:35" ht="15" customHeight="1" thickBot="1" x14ac:dyDescent="0.5">
      <c r="C17" s="117"/>
      <c r="D17" s="133"/>
      <c r="E17" s="117"/>
      <c r="F17" s="117"/>
      <c r="G17" s="117"/>
      <c r="H17" s="117"/>
      <c r="I17" s="117"/>
      <c r="J17" s="117"/>
      <c r="K17" s="117"/>
      <c r="L17" s="117"/>
      <c r="M17" s="117"/>
      <c r="N17" s="117"/>
      <c r="O17" s="117"/>
      <c r="P17" s="117"/>
      <c r="Q17" s="117"/>
      <c r="R17" s="117"/>
      <c r="S17" s="117"/>
      <c r="T17" s="117"/>
      <c r="U17" s="117"/>
      <c r="V17" s="117"/>
      <c r="W17" s="117"/>
      <c r="AA17" s="135"/>
      <c r="AB17" s="117"/>
      <c r="AC17" s="117"/>
      <c r="AD17" s="120"/>
      <c r="AE17" s="456"/>
      <c r="AF17" s="223"/>
    </row>
    <row r="18" spans="2:35" ht="57.5" customHeight="1" thickBot="1" x14ac:dyDescent="0.5">
      <c r="C18" s="515" t="s">
        <v>364</v>
      </c>
      <c r="D18" s="517"/>
      <c r="E18" s="515" t="s">
        <v>341</v>
      </c>
      <c r="F18" s="565"/>
      <c r="G18" s="137" t="s">
        <v>48</v>
      </c>
      <c r="H18" s="138"/>
      <c r="I18" s="138"/>
      <c r="J18" s="139" t="s">
        <v>50</v>
      </c>
      <c r="K18" s="138"/>
      <c r="L18" s="138"/>
      <c r="M18" s="136" t="s">
        <v>51</v>
      </c>
      <c r="N18" s="138"/>
      <c r="O18" s="138"/>
      <c r="P18" s="140" t="s">
        <v>52</v>
      </c>
      <c r="Q18" s="141"/>
      <c r="R18" s="255"/>
      <c r="S18" s="143" t="s">
        <v>54</v>
      </c>
      <c r="T18" s="138" t="s">
        <v>55</v>
      </c>
      <c r="U18" s="138" t="s">
        <v>56</v>
      </c>
      <c r="V18" s="138" t="s">
        <v>57</v>
      </c>
      <c r="W18" s="144" t="s">
        <v>58</v>
      </c>
      <c r="X18" s="457" t="s">
        <v>508</v>
      </c>
      <c r="Y18" s="146" t="s">
        <v>546</v>
      </c>
      <c r="Z18" s="146" t="s">
        <v>532</v>
      </c>
      <c r="AA18" s="148" t="s">
        <v>59</v>
      </c>
      <c r="AB18" s="397" t="s">
        <v>17</v>
      </c>
      <c r="AC18" s="631" t="s">
        <v>509</v>
      </c>
      <c r="AD18" s="632"/>
      <c r="AE18" s="458" t="s">
        <v>60</v>
      </c>
      <c r="AF18" s="399" t="s">
        <v>61</v>
      </c>
      <c r="AG18" s="152" t="s">
        <v>62</v>
      </c>
    </row>
    <row r="19" spans="2:35" ht="226.5" customHeight="1" thickBot="1" x14ac:dyDescent="0.5">
      <c r="B19" s="605" t="s">
        <v>484</v>
      </c>
      <c r="C19" s="199">
        <v>1</v>
      </c>
      <c r="D19" s="200" t="s">
        <v>492</v>
      </c>
      <c r="E19" s="217" t="s">
        <v>487</v>
      </c>
      <c r="F19" s="202" t="s">
        <v>63</v>
      </c>
      <c r="G19" s="39" t="s">
        <v>80</v>
      </c>
      <c r="H19" s="204" t="e">
        <f t="shared" ref="H19:H32" si="0">VLOOKUP(G19,$B$46:$C$47,2,0)</f>
        <v>#N/A</v>
      </c>
      <c r="I19" s="205">
        <v>2</v>
      </c>
      <c r="J19" s="21" t="s">
        <v>80</v>
      </c>
      <c r="K19" s="204" t="e">
        <f t="shared" ref="K19:K32" si="1">VLOOKUP(J19,$B$50:$C$51,2,0)</f>
        <v>#N/A</v>
      </c>
      <c r="L19" s="205">
        <v>1</v>
      </c>
      <c r="M19" s="21" t="s">
        <v>80</v>
      </c>
      <c r="N19" s="405" t="e">
        <f t="shared" ref="N19:N32" si="2">VLOOKUP(M19,$B$55:$C$56,2,0)</f>
        <v>#N/A</v>
      </c>
      <c r="O19" s="205">
        <v>2</v>
      </c>
      <c r="P19" s="21" t="s">
        <v>80</v>
      </c>
      <c r="Q19" s="204" t="e">
        <f t="shared" ref="Q19:Q32" si="3">VLOOKUP(P19,$B$46:$C$47,2,0)</f>
        <v>#N/A</v>
      </c>
      <c r="R19" s="206">
        <v>2</v>
      </c>
      <c r="S19" s="207" t="str">
        <f>IF($G$3="NO","No aplica",IF($G$3="-","-",IF($G$8="-","-",IF(G19="-","-",IF(J19="-","-",IF(M19="-","-",IF(P19="-","-",SUM($H$8,H19,K19,N19,Q19))))))))</f>
        <v>-</v>
      </c>
      <c r="T19" s="204">
        <f t="shared" ref="T19:T32" si="4">SUM($I$8,I19,L19,O19,R19)</f>
        <v>10</v>
      </c>
      <c r="U19" s="459" t="str">
        <f>IF(S19="-","Pendiente",IF(S19="No aplica","No aplica",S19/T19))</f>
        <v>Pendiente</v>
      </c>
      <c r="V19" s="22" t="str">
        <f>IF(COUNTIF(U19:U32,"Pendiente")&gt;0,"Pendiente",IF(U19="No aplica","No aplica",IF(U19&gt;=100%,"Muy Bajo",IF(U19&gt;=80%,"Bajo",IF(U19&gt;=60%,"Medio",IF(U19&gt;=40%,"Alto","Muy Alto"))))))</f>
        <v>Pendiente</v>
      </c>
      <c r="W19" s="208" t="str">
        <f t="shared" ref="W19:W32" si="5">+IF($G$3="No","No aplica",IF(V19="Pendiente","Pendiente",IF(V19="Muy Bajo",5%,IF(V19="Bajo",30%,IF(V19="Medio",50%,IF(V19="Alto",70%,90%))))))</f>
        <v>Pendiente</v>
      </c>
      <c r="X19" s="460">
        <v>2</v>
      </c>
      <c r="Y19" s="23" t="str">
        <f>+W19</f>
        <v>Pendiente</v>
      </c>
      <c r="Z19" s="220">
        <v>3</v>
      </c>
      <c r="AA19" s="211" t="str">
        <f>IF($G$3="No","No aplica",+IF(COUNTIF(Y19,"Pendiente")&gt;0,"Pendiente",4*Y19*Z19))</f>
        <v>Pendiente</v>
      </c>
      <c r="AB19" s="212" t="s">
        <v>245</v>
      </c>
      <c r="AC19" s="213" t="str">
        <f t="shared" ref="AC19:AC32" si="6">IF($G$3="No","No aplica",IF(OR($G$8="-",G19="-",J19="-",M19="-",P19="-"),"Pendiente",IF(AND(G19="No",J19="Sí",M19="Sí",P19="No"),"En la siguiente columna responda NO","Responda a la pregunta en la siguiente columna ----&gt;")))</f>
        <v>Pendiente</v>
      </c>
      <c r="AD19" s="469"/>
      <c r="AE19" s="461" t="str">
        <f>+IF(Y19="No aplica","No aplica",+IF(AND(AC19="En la siguiente columna responda NO",AD19="No"),Y19,IF(AND(AC19="En la siguiente columna responda NO",AD19="Sí"),"Responda No en la pregunta anterior",IF(AD19="SÍ",Y19/2,Y19))))</f>
        <v>Pendiente</v>
      </c>
      <c r="AF19" s="54" t="str">
        <f>IF($G$3="No","No aplica",+IF(COUNTIF(AA19,"Pendiente")&gt;0,"Pendiente",IF(COUNTIF(AD19:AD32,"")&gt;0,"Pendiente",4*Z19*AE19)))</f>
        <v>Pendiente</v>
      </c>
      <c r="AG19" s="243"/>
      <c r="AI19" s="118"/>
    </row>
    <row r="20" spans="2:35" ht="231" customHeight="1" x14ac:dyDescent="0.45">
      <c r="B20" s="605"/>
      <c r="C20" s="525">
        <v>2</v>
      </c>
      <c r="D20" s="528" t="s">
        <v>493</v>
      </c>
      <c r="E20" s="221" t="s">
        <v>488</v>
      </c>
      <c r="F20" s="155" t="s">
        <v>65</v>
      </c>
      <c r="G20" s="35" t="s">
        <v>80</v>
      </c>
      <c r="H20" s="157" t="e">
        <f t="shared" si="0"/>
        <v>#N/A</v>
      </c>
      <c r="I20" s="158">
        <v>2</v>
      </c>
      <c r="J20" s="10" t="s">
        <v>80</v>
      </c>
      <c r="K20" s="157" t="e">
        <f t="shared" si="1"/>
        <v>#N/A</v>
      </c>
      <c r="L20" s="158">
        <v>1</v>
      </c>
      <c r="M20" s="10" t="s">
        <v>80</v>
      </c>
      <c r="N20" s="259" t="e">
        <f t="shared" si="2"/>
        <v>#N/A</v>
      </c>
      <c r="O20" s="158">
        <v>2</v>
      </c>
      <c r="P20" s="10" t="s">
        <v>80</v>
      </c>
      <c r="Q20" s="157" t="e">
        <f t="shared" si="3"/>
        <v>#N/A</v>
      </c>
      <c r="R20" s="159">
        <v>2</v>
      </c>
      <c r="S20" s="188" t="str">
        <f t="shared" ref="S20:S32" si="7">IF($G$3="NO","No aplica", IF($G$3="-","-",IF($G$8="-","-",IF(G20="-","-",IF(J20="-","-",IF(M20="-","-",IF(P20="-","-",SUM($H$8,H20,K20,N20,Q20))))))))</f>
        <v>-</v>
      </c>
      <c r="T20" s="157">
        <f t="shared" si="4"/>
        <v>10</v>
      </c>
      <c r="U20" s="462" t="str">
        <f>IF(S20="-","Pendiente",IF(S20="No aplica","No aplica",S20/T20))</f>
        <v>Pendiente</v>
      </c>
      <c r="V20" s="11" t="str">
        <f>IF(COUNTIF(U19:U32,"Pendiente")&gt;0,"Pendiente",IF(U20="No aplica","No aplica",IF(U20&gt;=100%,"Muy Bajo",IF(U20&gt;=80%,"Bajo",IF(U20&gt;=60%,"Medio",IF(U20&gt;=40%,"Alto","Muy Alto"))))))</f>
        <v>Pendiente</v>
      </c>
      <c r="W20" s="160" t="str">
        <f t="shared" si="5"/>
        <v>Pendiente</v>
      </c>
      <c r="X20" s="633">
        <v>1</v>
      </c>
      <c r="Y20" s="12" t="str">
        <f t="shared" ref="Y20:Y32" si="8">+W20</f>
        <v>Pendiente</v>
      </c>
      <c r="Z20" s="222">
        <v>1</v>
      </c>
      <c r="AA20" s="531" t="str">
        <f>IF($G$3="No","No aplica",+IF(COUNTIF(Y20:Y22,"Pendiente")&gt;0,"Pendiente",AVERAGE(3*Y20*1.5,3*Y21*1.5,3*Y22*1.5)))</f>
        <v>Pendiente</v>
      </c>
      <c r="AB20" s="162" t="s">
        <v>246</v>
      </c>
      <c r="AC20" s="163" t="str">
        <f t="shared" si="6"/>
        <v>Pendiente</v>
      </c>
      <c r="AD20" s="325"/>
      <c r="AE20" s="463" t="str">
        <f t="shared" ref="AE20:AE32" si="9">+IF(Y20="No aplica","No aplica",+IF(AND(AC20="En la siguiente columna responda NO",AD20="No"),Y20,IF(AND(AC20="En la siguiente columna responda NO",AD20="Sí"),"Responda No en la pregunta anterior",IF(AD20="SÍ",Y20/2,Y20))))</f>
        <v>Pendiente</v>
      </c>
      <c r="AF20" s="510" t="str">
        <f>IF($G$3="No","No aplica",+IF(AA20="Pendiente","Pendiente",IF(COUNTIF(AD19:AD32,"")&gt;0,"Pendiente",AVERAGE(3*AE20*1.5,3*AE21*1.5,3*AE22*1.5))))</f>
        <v>Pendiente</v>
      </c>
      <c r="AG20" s="240"/>
      <c r="AI20" s="118"/>
    </row>
    <row r="21" spans="2:35" ht="165" customHeight="1" x14ac:dyDescent="0.45">
      <c r="B21" s="605"/>
      <c r="C21" s="526"/>
      <c r="D21" s="529"/>
      <c r="E21" s="224" t="s">
        <v>545</v>
      </c>
      <c r="F21" s="167" t="s">
        <v>66</v>
      </c>
      <c r="G21" s="36" t="s">
        <v>80</v>
      </c>
      <c r="H21" s="124" t="e">
        <f t="shared" si="0"/>
        <v>#N/A</v>
      </c>
      <c r="I21" s="169">
        <v>2</v>
      </c>
      <c r="J21" s="9" t="s">
        <v>80</v>
      </c>
      <c r="K21" s="124" t="e">
        <f t="shared" si="1"/>
        <v>#N/A</v>
      </c>
      <c r="L21" s="169">
        <v>1</v>
      </c>
      <c r="M21" s="9" t="s">
        <v>80</v>
      </c>
      <c r="N21" s="264" t="e">
        <f t="shared" si="2"/>
        <v>#N/A</v>
      </c>
      <c r="O21" s="169">
        <v>2</v>
      </c>
      <c r="P21" s="9" t="s">
        <v>80</v>
      </c>
      <c r="Q21" s="124" t="e">
        <f t="shared" si="3"/>
        <v>#N/A</v>
      </c>
      <c r="R21" s="170">
        <v>2</v>
      </c>
      <c r="S21" s="225" t="str">
        <f t="shared" si="7"/>
        <v>-</v>
      </c>
      <c r="T21" s="124">
        <f t="shared" si="4"/>
        <v>10</v>
      </c>
      <c r="U21" s="464" t="str">
        <f>IF(S21="-","Pendiente",IF(S21="No aplica","No aplica",S21/T21))</f>
        <v>Pendiente</v>
      </c>
      <c r="V21" s="13" t="str">
        <f>IF(COUNTIF(U19:U32,"Pendiente")&gt;0,"Pendiente",IF(U21="No aplica","No aplica",IF(U21&gt;=100%,"Muy Bajo",IF(U21&gt;=80%,"Bajo",IF(U21&gt;=60%,"Medio",IF(U21&gt;=40%,"Alto","Muy Alto"))))))</f>
        <v>Pendiente</v>
      </c>
      <c r="W21" s="171" t="str">
        <f t="shared" si="5"/>
        <v>Pendiente</v>
      </c>
      <c r="X21" s="634"/>
      <c r="Y21" s="14" t="str">
        <f t="shared" si="8"/>
        <v>Pendiente</v>
      </c>
      <c r="Z21" s="172">
        <v>1</v>
      </c>
      <c r="AA21" s="532"/>
      <c r="AB21" s="173" t="s">
        <v>247</v>
      </c>
      <c r="AC21" s="345" t="str">
        <f t="shared" si="6"/>
        <v>Pendiente</v>
      </c>
      <c r="AD21" s="470"/>
      <c r="AE21" s="465" t="str">
        <f t="shared" si="9"/>
        <v>Pendiente</v>
      </c>
      <c r="AF21" s="512"/>
      <c r="AG21" s="241"/>
      <c r="AI21" s="118"/>
    </row>
    <row r="22" spans="2:35" ht="209.15" customHeight="1" thickBot="1" x14ac:dyDescent="0.5">
      <c r="B22" s="605"/>
      <c r="C22" s="527"/>
      <c r="D22" s="530"/>
      <c r="E22" s="228" t="s">
        <v>497</v>
      </c>
      <c r="F22" s="178" t="s">
        <v>67</v>
      </c>
      <c r="G22" s="40" t="s">
        <v>80</v>
      </c>
      <c r="H22" s="192" t="e">
        <f t="shared" si="0"/>
        <v>#N/A</v>
      </c>
      <c r="I22" s="193">
        <v>2</v>
      </c>
      <c r="J22" s="25" t="s">
        <v>80</v>
      </c>
      <c r="K22" s="192" t="e">
        <f t="shared" si="1"/>
        <v>#N/A</v>
      </c>
      <c r="L22" s="193">
        <v>1</v>
      </c>
      <c r="M22" s="25" t="s">
        <v>80</v>
      </c>
      <c r="N22" s="271" t="e">
        <f t="shared" si="2"/>
        <v>#N/A</v>
      </c>
      <c r="O22" s="193">
        <v>2</v>
      </c>
      <c r="P22" s="25" t="s">
        <v>80</v>
      </c>
      <c r="Q22" s="192" t="e">
        <f t="shared" si="3"/>
        <v>#N/A</v>
      </c>
      <c r="R22" s="194">
        <v>2</v>
      </c>
      <c r="S22" s="195" t="str">
        <f t="shared" si="7"/>
        <v>-</v>
      </c>
      <c r="T22" s="192">
        <f t="shared" si="4"/>
        <v>10</v>
      </c>
      <c r="U22" s="466" t="str">
        <f>IF(S22="-","Pendiente",IF(S22="No aplica","No aplica",S22/T22))</f>
        <v>Pendiente</v>
      </c>
      <c r="V22" s="26" t="str">
        <f>IF(COUNTIF(U19:U32,"Pendiente")&gt;0,"Pendiente",IF(U22="No aplica","No aplica",IF(U22&gt;=100%,"Muy Bajo",IF(U22&gt;=80%,"Bajo",IF(U22&gt;=60%,"Medio",IF(U22&gt;=40%,"Alto","Muy Alto"))))))</f>
        <v>Pendiente</v>
      </c>
      <c r="W22" s="196" t="str">
        <f t="shared" si="5"/>
        <v>Pendiente</v>
      </c>
      <c r="X22" s="635"/>
      <c r="Y22" s="33" t="str">
        <f>+W22</f>
        <v>Pendiente</v>
      </c>
      <c r="Z22" s="324">
        <v>1</v>
      </c>
      <c r="AA22" s="533"/>
      <c r="AB22" s="185" t="s">
        <v>248</v>
      </c>
      <c r="AC22" s="381" t="str">
        <f t="shared" si="6"/>
        <v>Pendiente</v>
      </c>
      <c r="AD22" s="471"/>
      <c r="AE22" s="467" t="str">
        <f t="shared" si="9"/>
        <v>Pendiente</v>
      </c>
      <c r="AF22" s="511"/>
      <c r="AG22" s="242"/>
      <c r="AI22" s="118"/>
    </row>
    <row r="23" spans="2:35" ht="260.14999999999998" customHeight="1" x14ac:dyDescent="0.45">
      <c r="B23" s="605"/>
      <c r="C23" s="525">
        <v>3</v>
      </c>
      <c r="D23" s="528" t="s">
        <v>494</v>
      </c>
      <c r="E23" s="446" t="s">
        <v>489</v>
      </c>
      <c r="F23" s="302" t="s">
        <v>68</v>
      </c>
      <c r="G23" s="35" t="s">
        <v>80</v>
      </c>
      <c r="H23" s="157" t="e">
        <f t="shared" si="0"/>
        <v>#N/A</v>
      </c>
      <c r="I23" s="158">
        <v>2</v>
      </c>
      <c r="J23" s="10" t="s">
        <v>80</v>
      </c>
      <c r="K23" s="157" t="e">
        <f t="shared" si="1"/>
        <v>#N/A</v>
      </c>
      <c r="L23" s="158">
        <v>1</v>
      </c>
      <c r="M23" s="10" t="s">
        <v>80</v>
      </c>
      <c r="N23" s="259" t="e">
        <f t="shared" si="2"/>
        <v>#N/A</v>
      </c>
      <c r="O23" s="158">
        <v>2</v>
      </c>
      <c r="P23" s="10" t="s">
        <v>80</v>
      </c>
      <c r="Q23" s="157" t="e">
        <f t="shared" si="3"/>
        <v>#N/A</v>
      </c>
      <c r="R23" s="159">
        <v>2</v>
      </c>
      <c r="S23" s="188" t="str">
        <f t="shared" si="7"/>
        <v>-</v>
      </c>
      <c r="T23" s="157">
        <f t="shared" si="4"/>
        <v>10</v>
      </c>
      <c r="U23" s="462" t="str">
        <f>IF(S23="-","Pendiente",IF(S23="No aplica","No aplica",S23/T23))</f>
        <v>Pendiente</v>
      </c>
      <c r="V23" s="11" t="str">
        <f>IF(COUNTIF(U19:U32,"Pendiente")&gt;0,"Pendiente",IF(U23="No aplica","No aplica",IF(U23&gt;=100%,"Muy Bajo",IF(U23&gt;=80%,"Bajo",IF(U23&gt;=60%,"Medio",IF(U23&gt;=40%,"Alto","Muy Alto"))))))</f>
        <v>Pendiente</v>
      </c>
      <c r="W23" s="160" t="str">
        <f t="shared" si="5"/>
        <v>Pendiente</v>
      </c>
      <c r="X23" s="636">
        <v>2</v>
      </c>
      <c r="Y23" s="12" t="str">
        <f>+W23</f>
        <v>Pendiente</v>
      </c>
      <c r="Z23" s="260">
        <v>3</v>
      </c>
      <c r="AA23" s="531" t="str">
        <f>IF($G$3="No","No aplica",+IF(COUNTIF(Y23:Y25,"Pendiente")&gt;0,"Pendiente",AVERAGE(4*Y23*Z23,4*Y24*1.5,4*Y25*Z25)))</f>
        <v>Pendiente</v>
      </c>
      <c r="AB23" s="162" t="s">
        <v>249</v>
      </c>
      <c r="AC23" s="163" t="str">
        <f t="shared" si="6"/>
        <v>Pendiente</v>
      </c>
      <c r="AD23" s="325"/>
      <c r="AE23" s="463" t="str">
        <f t="shared" si="9"/>
        <v>Pendiente</v>
      </c>
      <c r="AF23" s="510" t="str">
        <f>IF($G$3="No","No aplica",+IF(AA23="Pendiente","Pendiente",AVERAGE(4*AE23*Z23,4*AE24*1.5,4*AE25*Z25)))</f>
        <v>Pendiente</v>
      </c>
      <c r="AG23" s="240"/>
      <c r="AI23" s="118"/>
    </row>
    <row r="24" spans="2:35" ht="204.65" customHeight="1" x14ac:dyDescent="0.45">
      <c r="B24" s="605"/>
      <c r="C24" s="526"/>
      <c r="D24" s="529"/>
      <c r="E24" s="224" t="s">
        <v>498</v>
      </c>
      <c r="F24" s="167" t="s">
        <v>69</v>
      </c>
      <c r="G24" s="36" t="s">
        <v>80</v>
      </c>
      <c r="H24" s="124" t="e">
        <f t="shared" si="0"/>
        <v>#N/A</v>
      </c>
      <c r="I24" s="169">
        <v>2</v>
      </c>
      <c r="J24" s="9" t="s">
        <v>80</v>
      </c>
      <c r="K24" s="124" t="e">
        <f t="shared" si="1"/>
        <v>#N/A</v>
      </c>
      <c r="L24" s="169">
        <v>1</v>
      </c>
      <c r="M24" s="9" t="s">
        <v>80</v>
      </c>
      <c r="N24" s="264" t="e">
        <f t="shared" si="2"/>
        <v>#N/A</v>
      </c>
      <c r="O24" s="169">
        <v>2</v>
      </c>
      <c r="P24" s="9" t="s">
        <v>80</v>
      </c>
      <c r="Q24" s="124" t="e">
        <f t="shared" si="3"/>
        <v>#N/A</v>
      </c>
      <c r="R24" s="170">
        <v>2</v>
      </c>
      <c r="S24" s="225" t="str">
        <f t="shared" si="7"/>
        <v>-</v>
      </c>
      <c r="T24" s="124">
        <f t="shared" si="4"/>
        <v>10</v>
      </c>
      <c r="U24" s="464" t="str">
        <f>IF(S24="-","Pendiente",IF(S24="No aplica","No aplica",+S24/T24))</f>
        <v>Pendiente</v>
      </c>
      <c r="V24" s="13" t="str">
        <f>IF(COUNTIF(U19:U32,"Pendiente")&gt;0,"Pendiente",IF(U24="No aplica","No aplica",IF(U24&gt;=100%,"Muy Bajo",IF(U24&gt;=80%,"Bajo",IF(U24&gt;=60%,"Medio",IF(U24&gt;=40%,"Alto","Muy Alto"))))))</f>
        <v>Pendiente</v>
      </c>
      <c r="W24" s="171" t="str">
        <f t="shared" si="5"/>
        <v>Pendiente</v>
      </c>
      <c r="X24" s="637"/>
      <c r="Y24" s="14" t="str">
        <f t="shared" si="8"/>
        <v>Pendiente</v>
      </c>
      <c r="Z24" s="172">
        <v>1</v>
      </c>
      <c r="AA24" s="532"/>
      <c r="AB24" s="173" t="s">
        <v>250</v>
      </c>
      <c r="AC24" s="345" t="str">
        <f t="shared" si="6"/>
        <v>Pendiente</v>
      </c>
      <c r="AD24" s="470"/>
      <c r="AE24" s="465" t="str">
        <f t="shared" si="9"/>
        <v>Pendiente</v>
      </c>
      <c r="AF24" s="512"/>
      <c r="AG24" s="241"/>
      <c r="AI24" s="118"/>
    </row>
    <row r="25" spans="2:35" ht="148.5" thickBot="1" x14ac:dyDescent="0.5">
      <c r="B25" s="605"/>
      <c r="C25" s="527"/>
      <c r="D25" s="530"/>
      <c r="E25" s="448" t="s">
        <v>490</v>
      </c>
      <c r="F25" s="306" t="s">
        <v>70</v>
      </c>
      <c r="G25" s="40" t="s">
        <v>80</v>
      </c>
      <c r="H25" s="192" t="e">
        <f t="shared" si="0"/>
        <v>#N/A</v>
      </c>
      <c r="I25" s="193">
        <v>2</v>
      </c>
      <c r="J25" s="25" t="s">
        <v>80</v>
      </c>
      <c r="K25" s="192" t="e">
        <f t="shared" si="1"/>
        <v>#N/A</v>
      </c>
      <c r="L25" s="193">
        <v>1</v>
      </c>
      <c r="M25" s="25" t="s">
        <v>80</v>
      </c>
      <c r="N25" s="271" t="e">
        <f t="shared" si="2"/>
        <v>#N/A</v>
      </c>
      <c r="O25" s="193">
        <v>2</v>
      </c>
      <c r="P25" s="25" t="s">
        <v>80</v>
      </c>
      <c r="Q25" s="192" t="e">
        <f t="shared" si="3"/>
        <v>#N/A</v>
      </c>
      <c r="R25" s="194">
        <v>2</v>
      </c>
      <c r="S25" s="195" t="str">
        <f t="shared" si="7"/>
        <v>-</v>
      </c>
      <c r="T25" s="192">
        <f t="shared" si="4"/>
        <v>10</v>
      </c>
      <c r="U25" s="466" t="str">
        <f>IF(S25="-","Pendiente",IF(S25="No aplica","No aplica",+S25/T25))</f>
        <v>Pendiente</v>
      </c>
      <c r="V25" s="26" t="str">
        <f>IF(COUNTIF(U19:U32,"Pendiente")&gt;0,"Pendiente",IF(U25="No aplica","No aplica",IF(U25&gt;=100%,"Muy Bajo",IF(U25&gt;=80%,"Bajo",IF(U25&gt;=60%,"Medio",IF(U25&gt;=40%,"Alto","Muy Alto"))))))</f>
        <v>Pendiente</v>
      </c>
      <c r="W25" s="196" t="str">
        <f t="shared" si="5"/>
        <v>Pendiente</v>
      </c>
      <c r="X25" s="638"/>
      <c r="Y25" s="27" t="str">
        <f t="shared" si="8"/>
        <v>Pendiente</v>
      </c>
      <c r="Z25" s="449">
        <v>3</v>
      </c>
      <c r="AA25" s="533"/>
      <c r="AB25" s="185" t="s">
        <v>251</v>
      </c>
      <c r="AC25" s="381" t="str">
        <f t="shared" si="6"/>
        <v>Pendiente</v>
      </c>
      <c r="AD25" s="471"/>
      <c r="AE25" s="467" t="str">
        <f t="shared" si="9"/>
        <v>Pendiente</v>
      </c>
      <c r="AF25" s="511"/>
      <c r="AG25" s="242"/>
      <c r="AI25" s="118"/>
    </row>
    <row r="26" spans="2:35" ht="186" customHeight="1" thickBot="1" x14ac:dyDescent="0.5">
      <c r="B26" s="605"/>
      <c r="C26" s="199">
        <v>4</v>
      </c>
      <c r="D26" s="200" t="s">
        <v>182</v>
      </c>
      <c r="E26" s="450" t="s">
        <v>499</v>
      </c>
      <c r="F26" s="218" t="s">
        <v>71</v>
      </c>
      <c r="G26" s="39" t="s">
        <v>80</v>
      </c>
      <c r="H26" s="204" t="e">
        <f t="shared" si="0"/>
        <v>#N/A</v>
      </c>
      <c r="I26" s="205">
        <v>2</v>
      </c>
      <c r="J26" s="21" t="s">
        <v>80</v>
      </c>
      <c r="K26" s="204" t="e">
        <f t="shared" si="1"/>
        <v>#N/A</v>
      </c>
      <c r="L26" s="205">
        <v>1</v>
      </c>
      <c r="M26" s="21" t="s">
        <v>80</v>
      </c>
      <c r="N26" s="405" t="e">
        <f t="shared" si="2"/>
        <v>#N/A</v>
      </c>
      <c r="O26" s="205">
        <v>2</v>
      </c>
      <c r="P26" s="21" t="s">
        <v>80</v>
      </c>
      <c r="Q26" s="204" t="e">
        <f t="shared" si="3"/>
        <v>#N/A</v>
      </c>
      <c r="R26" s="206">
        <v>2</v>
      </c>
      <c r="S26" s="207" t="str">
        <f t="shared" si="7"/>
        <v>-</v>
      </c>
      <c r="T26" s="204">
        <f t="shared" si="4"/>
        <v>10</v>
      </c>
      <c r="U26" s="459" t="str">
        <f t="shared" ref="U26:U32" si="10">IF(S26="-","Pendiente",IF(S26="No aplica","No aplica",S26/T26))</f>
        <v>Pendiente</v>
      </c>
      <c r="V26" s="22" t="str">
        <f>IF(COUNTIF(U19:U32,"Pendiente")&gt;0,"Pendiente",IF(U26="No aplica","No aplica",IF(U26&gt;=100%,"Muy Bajo",IF(U26&gt;=80%,"Bajo",IF(U26&gt;=60%,"Medio",IF(U26&gt;=40%,"Alto","Muy Alto"))))))</f>
        <v>Pendiente</v>
      </c>
      <c r="W26" s="208" t="str">
        <f t="shared" si="5"/>
        <v>Pendiente</v>
      </c>
      <c r="X26" s="229">
        <v>1</v>
      </c>
      <c r="Y26" s="23" t="str">
        <f t="shared" si="8"/>
        <v>Pendiente</v>
      </c>
      <c r="Z26" s="451">
        <v>1</v>
      </c>
      <c r="AA26" s="211" t="str">
        <f>IF($G$3="No","No aplica",+IF(COUNTIF(Y26,"Pendiente")&gt;0,"Pendiente",3*Y26*1.5))</f>
        <v>Pendiente</v>
      </c>
      <c r="AB26" s="212" t="s">
        <v>196</v>
      </c>
      <c r="AC26" s="213" t="str">
        <f t="shared" si="6"/>
        <v>Pendiente</v>
      </c>
      <c r="AD26" s="469"/>
      <c r="AE26" s="461" t="str">
        <f t="shared" si="9"/>
        <v>Pendiente</v>
      </c>
      <c r="AF26" s="215" t="str">
        <f>IF($G$3="No","No aplica",+IF(COUNTIF(AA26,"Pendiente")&gt;0,"Pendiente",IF(COUNTIF(AD19:AD32,"")&gt;0,"Pendiente",3*1.5*AE26)))</f>
        <v>Pendiente</v>
      </c>
      <c r="AG26" s="243"/>
      <c r="AI26" s="118"/>
    </row>
    <row r="27" spans="2:35" ht="158.15" customHeight="1" thickBot="1" x14ac:dyDescent="0.5">
      <c r="B27" s="605"/>
      <c r="C27" s="199">
        <v>5</v>
      </c>
      <c r="D27" s="200" t="s">
        <v>495</v>
      </c>
      <c r="E27" s="217" t="s">
        <v>500</v>
      </c>
      <c r="F27" s="202" t="s">
        <v>73</v>
      </c>
      <c r="G27" s="39" t="s">
        <v>80</v>
      </c>
      <c r="H27" s="204" t="e">
        <f t="shared" si="0"/>
        <v>#N/A</v>
      </c>
      <c r="I27" s="205">
        <v>2</v>
      </c>
      <c r="J27" s="21" t="s">
        <v>80</v>
      </c>
      <c r="K27" s="204" t="e">
        <f t="shared" si="1"/>
        <v>#N/A</v>
      </c>
      <c r="L27" s="205">
        <v>1</v>
      </c>
      <c r="M27" s="21" t="s">
        <v>80</v>
      </c>
      <c r="N27" s="405" t="e">
        <f t="shared" si="2"/>
        <v>#N/A</v>
      </c>
      <c r="O27" s="205">
        <v>2</v>
      </c>
      <c r="P27" s="21" t="s">
        <v>80</v>
      </c>
      <c r="Q27" s="204" t="e">
        <f t="shared" si="3"/>
        <v>#N/A</v>
      </c>
      <c r="R27" s="206">
        <v>2</v>
      </c>
      <c r="S27" s="207" t="str">
        <f t="shared" si="7"/>
        <v>-</v>
      </c>
      <c r="T27" s="204">
        <f t="shared" si="4"/>
        <v>10</v>
      </c>
      <c r="U27" s="459" t="str">
        <f t="shared" si="10"/>
        <v>Pendiente</v>
      </c>
      <c r="V27" s="22" t="str">
        <f>IF(COUNTIF(U19:U32,"Pendiente")&gt;0,"Pendiente",IF(U27="No aplica","No aplica",IF(U27&gt;=100%,"Muy Bajo",IF(U27&gt;=80%,"Bajo",IF(U27&gt;=60%,"Medio",IF(U27&gt;=40%,"Alto","Muy Alto"))))))</f>
        <v>Pendiente</v>
      </c>
      <c r="W27" s="208" t="str">
        <f t="shared" si="5"/>
        <v>Pendiente</v>
      </c>
      <c r="X27" s="460">
        <v>2</v>
      </c>
      <c r="Y27" s="43" t="str">
        <f>+W27</f>
        <v>Pendiente</v>
      </c>
      <c r="Z27" s="410">
        <v>3</v>
      </c>
      <c r="AA27" s="211" t="str">
        <f>IF($G$3="No","No aplica",+IF(COUNTIF(Y27,"Pendiente")&gt;0,"Pendiente",4*Y27*Z27))</f>
        <v>Pendiente</v>
      </c>
      <c r="AB27" s="212" t="s">
        <v>252</v>
      </c>
      <c r="AC27" s="213" t="str">
        <f t="shared" si="6"/>
        <v>Pendiente</v>
      </c>
      <c r="AD27" s="469"/>
      <c r="AE27" s="461" t="str">
        <f t="shared" si="9"/>
        <v>Pendiente</v>
      </c>
      <c r="AF27" s="54" t="str">
        <f>IF($G$3="No","No aplica",+IF(COUNTIF(AA27,"Pendiente")&gt;0,"Pendiente",IF(COUNTIF(AD19:AD32,"")&gt;0,"Pendiente",4*Z27*AE27)))</f>
        <v>Pendiente</v>
      </c>
      <c r="AG27" s="243"/>
      <c r="AI27" s="118"/>
    </row>
    <row r="28" spans="2:35" ht="154.5" customHeight="1" x14ac:dyDescent="0.45">
      <c r="B28" s="605"/>
      <c r="C28" s="639">
        <v>6</v>
      </c>
      <c r="D28" s="528" t="s">
        <v>496</v>
      </c>
      <c r="E28" s="221" t="s">
        <v>491</v>
      </c>
      <c r="F28" s="155" t="s">
        <v>77</v>
      </c>
      <c r="G28" s="35" t="s">
        <v>80</v>
      </c>
      <c r="H28" s="157" t="e">
        <f t="shared" si="0"/>
        <v>#N/A</v>
      </c>
      <c r="I28" s="158">
        <v>2</v>
      </c>
      <c r="J28" s="10" t="s">
        <v>80</v>
      </c>
      <c r="K28" s="157" t="e">
        <f t="shared" si="1"/>
        <v>#N/A</v>
      </c>
      <c r="L28" s="158">
        <v>1</v>
      </c>
      <c r="M28" s="10" t="s">
        <v>80</v>
      </c>
      <c r="N28" s="259" t="e">
        <f t="shared" si="2"/>
        <v>#N/A</v>
      </c>
      <c r="O28" s="158">
        <v>2</v>
      </c>
      <c r="P28" s="10" t="s">
        <v>80</v>
      </c>
      <c r="Q28" s="157" t="e">
        <f t="shared" si="3"/>
        <v>#N/A</v>
      </c>
      <c r="R28" s="159">
        <v>2</v>
      </c>
      <c r="S28" s="188" t="str">
        <f t="shared" si="7"/>
        <v>-</v>
      </c>
      <c r="T28" s="157">
        <f t="shared" si="4"/>
        <v>10</v>
      </c>
      <c r="U28" s="462" t="str">
        <f t="shared" si="10"/>
        <v>Pendiente</v>
      </c>
      <c r="V28" s="11" t="str">
        <f>IF(COUNTIF(U19:U32,"Pendiente")&gt;0,"Pendiente",IF(U28="No aplica","No aplica",IF(U28&gt;=100%,"Muy Bajo",IF(U28&gt;=80%,"Bajo",IF(U28&gt;=60%,"Medio",IF(U28&gt;=40%,"Alto","Muy Alto"))))))</f>
        <v>Pendiente</v>
      </c>
      <c r="W28" s="160" t="str">
        <f t="shared" si="5"/>
        <v>Pendiente</v>
      </c>
      <c r="X28" s="633">
        <v>1</v>
      </c>
      <c r="Y28" s="42" t="str">
        <f>+W28</f>
        <v>Pendiente</v>
      </c>
      <c r="Z28" s="468">
        <v>1</v>
      </c>
      <c r="AA28" s="531" t="str">
        <f>IF($G$3="No","No aplica",+IF(COUNTIF(Y28:Y29,"Pendiente")&gt;0,"Pendiente",AVERAGE(3*Y28*1.5,3*Y29*1.5)))</f>
        <v>Pendiente</v>
      </c>
      <c r="AB28" s="162" t="s">
        <v>515</v>
      </c>
      <c r="AC28" s="163" t="str">
        <f t="shared" si="6"/>
        <v>Pendiente</v>
      </c>
      <c r="AD28" s="325"/>
      <c r="AE28" s="463" t="str">
        <f t="shared" si="9"/>
        <v>Pendiente</v>
      </c>
      <c r="AF28" s="510" t="str">
        <f>IF($G$3="No","No aplica",+IF(AA28="Pendiente","Pendiente",IF(COUNTIF(AD19:AD32,"")&gt;0,"Pendiente",AVERAGE(3*1.5*AE28,3*1.5*AE29))))</f>
        <v>Pendiente</v>
      </c>
      <c r="AG28" s="240"/>
      <c r="AI28" s="118"/>
    </row>
    <row r="29" spans="2:35" ht="222" customHeight="1" thickBot="1" x14ac:dyDescent="0.5">
      <c r="B29" s="605"/>
      <c r="C29" s="640"/>
      <c r="D29" s="530"/>
      <c r="E29" s="228" t="s">
        <v>501</v>
      </c>
      <c r="F29" s="178" t="s">
        <v>96</v>
      </c>
      <c r="G29" s="37" t="s">
        <v>80</v>
      </c>
      <c r="H29" s="180" t="e">
        <f t="shared" si="0"/>
        <v>#N/A</v>
      </c>
      <c r="I29" s="181">
        <v>2</v>
      </c>
      <c r="J29" s="15" t="s">
        <v>80</v>
      </c>
      <c r="K29" s="180" t="e">
        <f t="shared" si="1"/>
        <v>#N/A</v>
      </c>
      <c r="L29" s="181">
        <v>1</v>
      </c>
      <c r="M29" s="15" t="s">
        <v>80</v>
      </c>
      <c r="N29" s="365" t="e">
        <f t="shared" si="2"/>
        <v>#N/A</v>
      </c>
      <c r="O29" s="181">
        <v>2</v>
      </c>
      <c r="P29" s="15" t="s">
        <v>80</v>
      </c>
      <c r="Q29" s="180" t="e">
        <f t="shared" si="3"/>
        <v>#N/A</v>
      </c>
      <c r="R29" s="182">
        <v>2</v>
      </c>
      <c r="S29" s="195" t="str">
        <f t="shared" si="7"/>
        <v>-</v>
      </c>
      <c r="T29" s="192">
        <f t="shared" si="4"/>
        <v>10</v>
      </c>
      <c r="U29" s="466" t="str">
        <f t="shared" si="10"/>
        <v>Pendiente</v>
      </c>
      <c r="V29" s="26" t="str">
        <f>IF(COUNTIF(U19:U32,"Pendiente")&gt;0,"Pendiente",IF(U29="No aplica","No aplica",IF(U29&gt;=100%,"Muy Bajo",IF(U29&gt;=80%,"Bajo",IF(U29&gt;=60%,"Medio",IF(U29&gt;=40%,"Alto","Muy Alto"))))))</f>
        <v>Pendiente</v>
      </c>
      <c r="W29" s="196" t="str">
        <f t="shared" si="5"/>
        <v>Pendiente</v>
      </c>
      <c r="X29" s="635"/>
      <c r="Y29" s="33" t="str">
        <f>+W29</f>
        <v>Pendiente</v>
      </c>
      <c r="Z29" s="324">
        <v>1</v>
      </c>
      <c r="AA29" s="533"/>
      <c r="AB29" s="185" t="s">
        <v>212</v>
      </c>
      <c r="AC29" s="381" t="str">
        <f t="shared" si="6"/>
        <v>Pendiente</v>
      </c>
      <c r="AD29" s="471"/>
      <c r="AE29" s="467" t="str">
        <f t="shared" si="9"/>
        <v>Pendiente</v>
      </c>
      <c r="AF29" s="511"/>
      <c r="AG29" s="242"/>
      <c r="AI29" s="118"/>
    </row>
    <row r="30" spans="2:35" ht="309.64999999999998" customHeight="1" x14ac:dyDescent="0.45">
      <c r="B30" s="605"/>
      <c r="C30" s="525">
        <v>7</v>
      </c>
      <c r="D30" s="559" t="s">
        <v>222</v>
      </c>
      <c r="E30" s="322" t="s">
        <v>502</v>
      </c>
      <c r="F30" s="155" t="s">
        <v>78</v>
      </c>
      <c r="G30" s="35" t="s">
        <v>80</v>
      </c>
      <c r="H30" s="157" t="e">
        <f t="shared" si="0"/>
        <v>#N/A</v>
      </c>
      <c r="I30" s="158">
        <v>2</v>
      </c>
      <c r="J30" s="10" t="s">
        <v>80</v>
      </c>
      <c r="K30" s="157" t="e">
        <f t="shared" si="1"/>
        <v>#N/A</v>
      </c>
      <c r="L30" s="158">
        <v>1</v>
      </c>
      <c r="M30" s="10" t="s">
        <v>80</v>
      </c>
      <c r="N30" s="259" t="e">
        <f t="shared" si="2"/>
        <v>#N/A</v>
      </c>
      <c r="O30" s="158">
        <v>2</v>
      </c>
      <c r="P30" s="10" t="s">
        <v>80</v>
      </c>
      <c r="Q30" s="157" t="e">
        <f t="shared" si="3"/>
        <v>#N/A</v>
      </c>
      <c r="R30" s="159">
        <v>2</v>
      </c>
      <c r="S30" s="188" t="str">
        <f t="shared" si="7"/>
        <v>-</v>
      </c>
      <c r="T30" s="157">
        <f t="shared" si="4"/>
        <v>10</v>
      </c>
      <c r="U30" s="462" t="str">
        <f t="shared" si="10"/>
        <v>Pendiente</v>
      </c>
      <c r="V30" s="11" t="str">
        <f>IF(COUNTIF(U19:U32,"Pendiente")&gt;0,"Pendiente",IF(U30="No aplica","No aplica",IF(U30&gt;=100%,"Muy Bajo",IF(U30&gt;=80%,"Bajo",IF(U30&gt;=60%,"Medio",IF(U30&gt;=40%,"Alto","Muy Alto"))))))</f>
        <v>Pendiente</v>
      </c>
      <c r="W30" s="160" t="str">
        <f t="shared" si="5"/>
        <v>Pendiente</v>
      </c>
      <c r="X30" s="633">
        <v>1</v>
      </c>
      <c r="Y30" s="12" t="str">
        <f t="shared" si="8"/>
        <v>Pendiente</v>
      </c>
      <c r="Z30" s="222">
        <v>1</v>
      </c>
      <c r="AA30" s="531" t="str">
        <f>IF($G$3="No","No aplica",+IF(COUNTIF(Y30:Y32,"Pendiente")&gt;0,"Pendiente",AVERAGE(3*Y30*1.5,3*Y31*1.5,3*Y32*1.5)))</f>
        <v>Pendiente</v>
      </c>
      <c r="AB30" s="162" t="s">
        <v>213</v>
      </c>
      <c r="AC30" s="163" t="str">
        <f t="shared" si="6"/>
        <v>Pendiente</v>
      </c>
      <c r="AD30" s="325"/>
      <c r="AE30" s="463" t="str">
        <f t="shared" si="9"/>
        <v>Pendiente</v>
      </c>
      <c r="AF30" s="510" t="str">
        <f>IF($G$3="No","No aplica",+IF(AA30="Pendiente","Pendiente",IF(COUNTIF(AD19:AD32,"")&gt;0,"Pendiente",AVERAGE(3*1.5*AE30,3*1.5*AE31,3*1.5*AE32))))</f>
        <v>Pendiente</v>
      </c>
      <c r="AG30" s="240"/>
      <c r="AI30" s="118"/>
    </row>
    <row r="31" spans="2:35" ht="157.5" customHeight="1" x14ac:dyDescent="0.45">
      <c r="B31" s="605"/>
      <c r="C31" s="526"/>
      <c r="D31" s="560"/>
      <c r="E31" s="311" t="s">
        <v>503</v>
      </c>
      <c r="F31" s="167" t="s">
        <v>79</v>
      </c>
      <c r="G31" s="36" t="s">
        <v>80</v>
      </c>
      <c r="H31" s="124" t="e">
        <f t="shared" si="0"/>
        <v>#N/A</v>
      </c>
      <c r="I31" s="169">
        <v>2</v>
      </c>
      <c r="J31" s="9" t="s">
        <v>80</v>
      </c>
      <c r="K31" s="124" t="e">
        <f t="shared" si="1"/>
        <v>#N/A</v>
      </c>
      <c r="L31" s="169">
        <v>1</v>
      </c>
      <c r="M31" s="9" t="s">
        <v>80</v>
      </c>
      <c r="N31" s="264" t="e">
        <f t="shared" si="2"/>
        <v>#N/A</v>
      </c>
      <c r="O31" s="169">
        <v>2</v>
      </c>
      <c r="P31" s="9" t="s">
        <v>80</v>
      </c>
      <c r="Q31" s="124" t="e">
        <f t="shared" si="3"/>
        <v>#N/A</v>
      </c>
      <c r="R31" s="170">
        <v>2</v>
      </c>
      <c r="S31" s="225" t="str">
        <f t="shared" si="7"/>
        <v>-</v>
      </c>
      <c r="T31" s="124">
        <f t="shared" si="4"/>
        <v>10</v>
      </c>
      <c r="U31" s="464" t="str">
        <f t="shared" si="10"/>
        <v>Pendiente</v>
      </c>
      <c r="V31" s="13" t="str">
        <f>IF(COUNTIF(U19:U32,"Pendiente")&gt;0,"Pendiente",IF(U31="No aplica","No aplica",IF(U31&gt;=100%,"Muy Bajo",IF(U31&gt;=80%,"Bajo",IF(U31&gt;=60%,"Medio",IF(U31&gt;=40%,"Alto","Muy Alto"))))))</f>
        <v>Pendiente</v>
      </c>
      <c r="W31" s="171" t="str">
        <f t="shared" si="5"/>
        <v>Pendiente</v>
      </c>
      <c r="X31" s="634"/>
      <c r="Y31" s="14" t="str">
        <f t="shared" si="8"/>
        <v>Pendiente</v>
      </c>
      <c r="Z31" s="172">
        <v>1</v>
      </c>
      <c r="AA31" s="532"/>
      <c r="AB31" s="173" t="s">
        <v>253</v>
      </c>
      <c r="AC31" s="345" t="str">
        <f t="shared" si="6"/>
        <v>Pendiente</v>
      </c>
      <c r="AD31" s="470"/>
      <c r="AE31" s="465" t="str">
        <f t="shared" si="9"/>
        <v>Pendiente</v>
      </c>
      <c r="AF31" s="512"/>
      <c r="AG31" s="241"/>
      <c r="AI31" s="118"/>
    </row>
    <row r="32" spans="2:35" ht="339" customHeight="1" thickBot="1" x14ac:dyDescent="0.5">
      <c r="B32" s="605"/>
      <c r="C32" s="527"/>
      <c r="D32" s="561"/>
      <c r="E32" s="312" t="s">
        <v>504</v>
      </c>
      <c r="F32" s="178" t="s">
        <v>98</v>
      </c>
      <c r="G32" s="40" t="s">
        <v>80</v>
      </c>
      <c r="H32" s="192" t="e">
        <f t="shared" si="0"/>
        <v>#N/A</v>
      </c>
      <c r="I32" s="193">
        <v>2</v>
      </c>
      <c r="J32" s="25" t="s">
        <v>80</v>
      </c>
      <c r="K32" s="192" t="e">
        <f t="shared" si="1"/>
        <v>#N/A</v>
      </c>
      <c r="L32" s="193">
        <v>1</v>
      </c>
      <c r="M32" s="25" t="s">
        <v>80</v>
      </c>
      <c r="N32" s="271" t="e">
        <f t="shared" si="2"/>
        <v>#N/A</v>
      </c>
      <c r="O32" s="193">
        <v>2</v>
      </c>
      <c r="P32" s="25" t="s">
        <v>80</v>
      </c>
      <c r="Q32" s="192" t="e">
        <f t="shared" si="3"/>
        <v>#N/A</v>
      </c>
      <c r="R32" s="194">
        <v>2</v>
      </c>
      <c r="S32" s="195" t="str">
        <f t="shared" si="7"/>
        <v>-</v>
      </c>
      <c r="T32" s="192">
        <f t="shared" si="4"/>
        <v>10</v>
      </c>
      <c r="U32" s="466" t="str">
        <f t="shared" si="10"/>
        <v>Pendiente</v>
      </c>
      <c r="V32" s="26" t="str">
        <f>IF(COUNTIF(U19:U32,"Pendiente")&gt;0,"Pendiente",IF(U32="No aplica","No aplica",IF(U32&gt;=100%,"Muy Bajo",IF(U32&gt;=80%,"Bajo",IF(U32&gt;=60%,"Medio",IF(U32&gt;=40%,"Alto","Muy Alto"))))))</f>
        <v>Pendiente</v>
      </c>
      <c r="W32" s="196" t="str">
        <f t="shared" si="5"/>
        <v>Pendiente</v>
      </c>
      <c r="X32" s="635"/>
      <c r="Y32" s="27" t="str">
        <f t="shared" si="8"/>
        <v>Pendiente</v>
      </c>
      <c r="Z32" s="184">
        <v>1</v>
      </c>
      <c r="AA32" s="533"/>
      <c r="AB32" s="185" t="s">
        <v>254</v>
      </c>
      <c r="AC32" s="381" t="str">
        <f t="shared" si="6"/>
        <v>Pendiente</v>
      </c>
      <c r="AD32" s="471"/>
      <c r="AE32" s="467" t="str">
        <f t="shared" si="9"/>
        <v>Pendiente</v>
      </c>
      <c r="AF32" s="511"/>
      <c r="AG32" s="242"/>
      <c r="AI32" s="118"/>
    </row>
    <row r="33" spans="1:35" hidden="1" x14ac:dyDescent="0.45">
      <c r="F33" s="593"/>
      <c r="G33" s="555"/>
      <c r="H33" s="555"/>
      <c r="I33" s="555"/>
      <c r="J33" s="555"/>
      <c r="K33" s="555"/>
      <c r="L33" s="555"/>
      <c r="M33" s="555"/>
      <c r="N33" s="555"/>
      <c r="O33" s="555"/>
      <c r="P33" s="555"/>
      <c r="Q33" s="555"/>
      <c r="R33" s="555"/>
      <c r="S33" s="555"/>
      <c r="T33" s="555"/>
      <c r="U33" s="555"/>
      <c r="V33" s="555"/>
      <c r="W33" s="555"/>
      <c r="X33" s="555"/>
      <c r="Y33" s="555"/>
      <c r="Z33" s="555"/>
      <c r="AA33" s="555"/>
      <c r="AB33" s="555"/>
      <c r="AC33" s="555"/>
      <c r="AD33" s="555"/>
      <c r="AE33" s="594"/>
      <c r="AF33" s="595" t="str">
        <f>IF($G$3="No","No aplica",IF(COUNTIF(AF19:AF32,"Pendiente")&gt;0,"Pendiente",IF(AND(V19="Muy Alto",AD19="No",V23="Muy Alto",AD23="No",V25="Muy Alto",AD25="No",V27="Muy Alto",AD27="No"),120%+SUM(AF20:AF22,AF26,AF28:AF32)*0.9/(46.8-10.8-10.8-9),IF(AND(V19="Muy Alto",AD19="No",V23="Muy Alto",AD23="No",V25="Muy Alto",AD25="No"),90%+SUM(AF20:AF22,AF26:AF32)*0.9/(46.8-10.8-9),IF(AND(V19="Muy Alto",AD19="No",V23="Muy Alto",AD23="No",V27="Muy Alto",AD27="No"),90%+SUM(AF20:AF22,AF26,AF28:AF32)*0.9/(46.8-10.8-9-10.8),IF(AND(V19="Muy Alto",AD19="No",V25="Muy Alto",AD25="No",V27="Muy Alto",AD27="No"),90%+SUM(AF20:AF22,AF26,AF28:AF32)*0.9/(46.8-10.8-9-10.8),IF(AND(V23="Muy Alto",AD23="No",V25="Muy Alto",AD25="No",V27="Muy Alto",AD27="No"),90%+SUM(AF19:AF22,AF26,AF28:AF32)*0.9/(46.8-9-10.8),IF(AND(V19="Muy Alto",AD19="No",V23="Muy Alto",AD23="No"),60%+SUM(AF20:AF22,AF26:AF32)*0.9/(46.8-10.8-9),IF(AND(V19="Muy Alto",AD19="No",V25="Muy Alto",AD25="No"),60%+SUM(AF20:AF22,AF26:AF32)*0.9/(46.8-10.8-9),IF(AND(V23="Muy Alto",AD23="No",V25="Muy Alto",AD25="No"),60%+SUM(AF19:AF22,AF26:AF32)*0.9/(46.8-9),IF(AND(V19="Muy Alto",AD19="No",V27="Muy Alto",AD27="No"),60%+SUM(AF20:AF26,AF28:AF32)*0.9/(46.8-10.8-10.8),IF(AND(V23="Muy Alto",AD23="No",V27="Muy Alto",AD27="No"),60%+SUM(AF19:AF22,AF26,AF28:AF32)*0.9/(46.8-9-10.8),IF(AND(V25="Muy Alto",AD25="No",V27="Muy Alto",AD27="No"),60%+SUM(AF19:AF22,AF26,AF28:AF32)*0.9/(46.8-9-10.8),IF(AND(V19="Muy Alto",AD19="No"),30%+SUM(AF20:AF32)*0.9/(46.8-10.8),IF(AND(V23="Muy Alto",AD23="No"),30%+SUM(AF19:AF22,AF26:AF32)*0.9/(46.8-9),IF(AND(V25="Muy Alto",AD25="No"),30%+SUM(AF19:AF22,AF26:AF32)*0.9/(46.8-9),IF(AND(V27="Muy Alto",AD27="No"),30%+SUM(AF19:AF26,AF28:AF32)*0.9/(46.8-10.8),SUM(AF19:AF32)*0.9/46.8)))))))))))))))))</f>
        <v>Pendiente</v>
      </c>
      <c r="AI33" s="118"/>
    </row>
    <row r="34" spans="1:35" ht="19" hidden="1" thickBot="1" x14ac:dyDescent="0.5">
      <c r="F34" s="550"/>
      <c r="G34" s="551"/>
      <c r="H34" s="551"/>
      <c r="I34" s="551"/>
      <c r="J34" s="551"/>
      <c r="K34" s="551"/>
      <c r="L34" s="551"/>
      <c r="M34" s="551"/>
      <c r="N34" s="551"/>
      <c r="O34" s="551"/>
      <c r="P34" s="551"/>
      <c r="Q34" s="551"/>
      <c r="R34" s="551"/>
      <c r="S34" s="551"/>
      <c r="T34" s="551"/>
      <c r="U34" s="551"/>
      <c r="V34" s="551"/>
      <c r="W34" s="551"/>
      <c r="X34" s="551"/>
      <c r="Y34" s="551"/>
      <c r="Z34" s="551"/>
      <c r="AA34" s="551"/>
      <c r="AB34" s="551"/>
      <c r="AC34" s="551"/>
      <c r="AD34" s="551"/>
      <c r="AE34" s="552"/>
      <c r="AF34" s="596"/>
    </row>
    <row r="35" spans="1:35" x14ac:dyDescent="0.45">
      <c r="A35" s="497"/>
      <c r="B35" s="497"/>
      <c r="C35" s="497"/>
      <c r="D35" s="498"/>
      <c r="F35" s="593" t="s">
        <v>485</v>
      </c>
      <c r="G35" s="555"/>
      <c r="H35" s="555"/>
      <c r="I35" s="555"/>
      <c r="J35" s="555"/>
      <c r="K35" s="555"/>
      <c r="L35" s="555"/>
      <c r="M35" s="555"/>
      <c r="N35" s="555"/>
      <c r="O35" s="555"/>
      <c r="P35" s="555"/>
      <c r="Q35" s="555"/>
      <c r="R35" s="555"/>
      <c r="S35" s="555"/>
      <c r="T35" s="555"/>
      <c r="U35" s="555"/>
      <c r="V35" s="555"/>
      <c r="W35" s="555"/>
      <c r="X35" s="555"/>
      <c r="Y35" s="555"/>
      <c r="Z35" s="555"/>
      <c r="AA35" s="555"/>
      <c r="AB35" s="555"/>
      <c r="AC35" s="555"/>
      <c r="AD35" s="555"/>
      <c r="AE35" s="594"/>
      <c r="AF35" s="595" t="str">
        <f>IF($G$3="No","No aplica",IF(COUNTIF(AF19:AF32,"Pendiente")&gt;0,"Pendiente",IF(AF33&gt;=90%,90%,AF33)))</f>
        <v>Pendiente</v>
      </c>
    </row>
    <row r="36" spans="1:35" ht="19" thickBot="1" x14ac:dyDescent="0.5">
      <c r="A36" s="497"/>
      <c r="B36" s="497"/>
      <c r="C36" s="497"/>
      <c r="D36" s="498"/>
      <c r="F36" s="550"/>
      <c r="G36" s="551"/>
      <c r="H36" s="551"/>
      <c r="I36" s="551"/>
      <c r="J36" s="551"/>
      <c r="K36" s="551"/>
      <c r="L36" s="551"/>
      <c r="M36" s="551"/>
      <c r="N36" s="551"/>
      <c r="O36" s="551"/>
      <c r="P36" s="551"/>
      <c r="Q36" s="551"/>
      <c r="R36" s="551"/>
      <c r="S36" s="551"/>
      <c r="T36" s="551"/>
      <c r="U36" s="551"/>
      <c r="V36" s="551"/>
      <c r="W36" s="551"/>
      <c r="X36" s="551"/>
      <c r="Y36" s="551"/>
      <c r="Z36" s="551"/>
      <c r="AA36" s="551"/>
      <c r="AB36" s="551"/>
      <c r="AC36" s="551"/>
      <c r="AD36" s="551"/>
      <c r="AE36" s="552"/>
      <c r="AF36" s="596"/>
    </row>
    <row r="37" spans="1:35" x14ac:dyDescent="0.45">
      <c r="A37" s="497"/>
      <c r="B37" s="499" t="s">
        <v>80</v>
      </c>
      <c r="C37" s="497"/>
      <c r="D37" s="498"/>
    </row>
    <row r="38" spans="1:35" x14ac:dyDescent="0.45">
      <c r="A38" s="497"/>
      <c r="B38" s="499" t="s">
        <v>44</v>
      </c>
      <c r="C38" s="497"/>
      <c r="D38" s="498"/>
    </row>
    <row r="39" spans="1:35" x14ac:dyDescent="0.45">
      <c r="A39" s="497"/>
      <c r="B39" s="499" t="s">
        <v>64</v>
      </c>
      <c r="C39" s="497"/>
      <c r="D39" s="498"/>
    </row>
    <row r="40" spans="1:35" x14ac:dyDescent="0.45">
      <c r="A40" s="497"/>
      <c r="B40" s="497"/>
      <c r="C40" s="497"/>
      <c r="D40" s="498"/>
    </row>
    <row r="41" spans="1:35" x14ac:dyDescent="0.45">
      <c r="A41" s="497"/>
      <c r="B41" s="499" t="s">
        <v>80</v>
      </c>
      <c r="C41" s="497"/>
      <c r="D41" s="498"/>
    </row>
    <row r="42" spans="1:35" x14ac:dyDescent="0.45">
      <c r="A42" s="497"/>
      <c r="B42" s="499" t="s">
        <v>44</v>
      </c>
      <c r="C42" s="498">
        <v>1</v>
      </c>
      <c r="D42" s="499" t="s">
        <v>46</v>
      </c>
    </row>
    <row r="43" spans="1:35" x14ac:dyDescent="0.45">
      <c r="A43" s="497"/>
      <c r="B43" s="499" t="s">
        <v>64</v>
      </c>
      <c r="C43" s="498">
        <v>3</v>
      </c>
      <c r="D43" s="497"/>
    </row>
    <row r="44" spans="1:35" x14ac:dyDescent="0.45">
      <c r="A44" s="497"/>
      <c r="B44" s="497"/>
      <c r="C44" s="497"/>
      <c r="D44" s="498"/>
      <c r="E44" s="117"/>
      <c r="AF44" s="223"/>
    </row>
    <row r="45" spans="1:35" x14ac:dyDescent="0.45">
      <c r="A45" s="497"/>
      <c r="B45" s="499" t="s">
        <v>80</v>
      </c>
      <c r="C45" s="497"/>
      <c r="D45" s="498"/>
      <c r="AF45" s="223"/>
    </row>
    <row r="46" spans="1:35" x14ac:dyDescent="0.45">
      <c r="A46" s="497"/>
      <c r="B46" s="499" t="s">
        <v>44</v>
      </c>
      <c r="C46" s="498">
        <v>2</v>
      </c>
      <c r="D46" s="499" t="s">
        <v>81</v>
      </c>
      <c r="AF46" s="223"/>
    </row>
    <row r="47" spans="1:35" x14ac:dyDescent="0.45">
      <c r="A47" s="497"/>
      <c r="B47" s="499" t="s">
        <v>64</v>
      </c>
      <c r="C47" s="498">
        <v>0</v>
      </c>
      <c r="D47" s="497"/>
      <c r="AF47" s="223"/>
    </row>
    <row r="48" spans="1:35" x14ac:dyDescent="0.45">
      <c r="A48" s="497"/>
      <c r="B48" s="497"/>
      <c r="C48" s="497"/>
      <c r="D48" s="498"/>
      <c r="E48" s="117"/>
    </row>
    <row r="49" spans="1:4" x14ac:dyDescent="0.45">
      <c r="A49" s="497"/>
      <c r="B49" s="499" t="s">
        <v>80</v>
      </c>
      <c r="C49" s="497"/>
      <c r="D49" s="498"/>
    </row>
    <row r="50" spans="1:4" x14ac:dyDescent="0.45">
      <c r="A50" s="497"/>
      <c r="B50" s="499" t="s">
        <v>44</v>
      </c>
      <c r="C50" s="498">
        <v>0</v>
      </c>
      <c r="D50" s="499" t="s">
        <v>50</v>
      </c>
    </row>
    <row r="51" spans="1:4" x14ac:dyDescent="0.45">
      <c r="A51" s="497"/>
      <c r="B51" s="499" t="s">
        <v>64</v>
      </c>
      <c r="C51" s="498">
        <v>1</v>
      </c>
      <c r="D51" s="497"/>
    </row>
    <row r="52" spans="1:4" x14ac:dyDescent="0.45">
      <c r="A52" s="497"/>
      <c r="B52" s="497"/>
      <c r="C52" s="497"/>
      <c r="D52" s="498"/>
    </row>
    <row r="53" spans="1:4" x14ac:dyDescent="0.45">
      <c r="A53" s="497"/>
      <c r="B53" s="497"/>
      <c r="C53" s="497"/>
      <c r="D53" s="498"/>
    </row>
    <row r="54" spans="1:4" x14ac:dyDescent="0.45">
      <c r="A54" s="497"/>
      <c r="B54" s="499" t="s">
        <v>80</v>
      </c>
      <c r="C54" s="497"/>
      <c r="D54" s="498"/>
    </row>
    <row r="55" spans="1:4" x14ac:dyDescent="0.45">
      <c r="A55" s="497"/>
      <c r="B55" s="499" t="s">
        <v>44</v>
      </c>
      <c r="C55" s="498">
        <v>0</v>
      </c>
      <c r="D55" s="499" t="s">
        <v>51</v>
      </c>
    </row>
    <row r="56" spans="1:4" x14ac:dyDescent="0.45">
      <c r="A56" s="497"/>
      <c r="B56" s="499" t="s">
        <v>64</v>
      </c>
      <c r="C56" s="498">
        <v>2</v>
      </c>
      <c r="D56" s="497"/>
    </row>
    <row r="57" spans="1:4" x14ac:dyDescent="0.45">
      <c r="A57" s="497"/>
      <c r="B57" s="497"/>
      <c r="C57" s="497"/>
      <c r="D57" s="498"/>
    </row>
    <row r="58" spans="1:4" x14ac:dyDescent="0.45">
      <c r="A58" s="497"/>
      <c r="B58" s="497"/>
      <c r="C58" s="497"/>
      <c r="D58" s="498"/>
    </row>
    <row r="59" spans="1:4" x14ac:dyDescent="0.45">
      <c r="A59" s="497"/>
      <c r="B59" s="497"/>
      <c r="C59" s="497"/>
      <c r="D59" s="498"/>
    </row>
  </sheetData>
  <sheetProtection algorithmName="SHA-512" hashValue="LjLu4ezEdo+F5oSz5uDheJId1VF266xM89RlKqfiPWqLWK6alTW8aIT2+z9/1EQccOXsWNCJ3eHzLBwzDwOQvw==" saltValue="e1Quzlwf/FRPa5lmQVLj4g==" spinCount="100000" sheet="1" objects="1" scenarios="1"/>
  <mergeCells count="37">
    <mergeCell ref="E8:F8"/>
    <mergeCell ref="E3:F3"/>
    <mergeCell ref="E15:F15"/>
    <mergeCell ref="E14:F14"/>
    <mergeCell ref="E13:F13"/>
    <mergeCell ref="E12:F12"/>
    <mergeCell ref="F35:AE36"/>
    <mergeCell ref="AF35:AF36"/>
    <mergeCell ref="B19:B32"/>
    <mergeCell ref="D1:E1"/>
    <mergeCell ref="D5:E5"/>
    <mergeCell ref="D10:E10"/>
    <mergeCell ref="C30:C32"/>
    <mergeCell ref="D30:D32"/>
    <mergeCell ref="C20:C22"/>
    <mergeCell ref="D20:D22"/>
    <mergeCell ref="C23:C25"/>
    <mergeCell ref="D23:D25"/>
    <mergeCell ref="E18:F18"/>
    <mergeCell ref="C18:D18"/>
    <mergeCell ref="C28:C29"/>
    <mergeCell ref="D28:D29"/>
    <mergeCell ref="AC18:AD18"/>
    <mergeCell ref="F33:AE34"/>
    <mergeCell ref="AF33:AF34"/>
    <mergeCell ref="AA20:AA22"/>
    <mergeCell ref="AA23:AA25"/>
    <mergeCell ref="AA30:AA32"/>
    <mergeCell ref="AF20:AF22"/>
    <mergeCell ref="AF23:AF25"/>
    <mergeCell ref="AF30:AF32"/>
    <mergeCell ref="X20:X22"/>
    <mergeCell ref="AA28:AA29"/>
    <mergeCell ref="AF28:AF29"/>
    <mergeCell ref="X23:X25"/>
    <mergeCell ref="X28:X29"/>
    <mergeCell ref="X30:X32"/>
  </mergeCells>
  <phoneticPr fontId="4" type="noConversion"/>
  <conditionalFormatting sqref="G3 G19:P32">
    <cfRule type="cellIs" dxfId="44" priority="95" stopIfTrue="1" operator="equal">
      <formula>"-"</formula>
    </cfRule>
  </conditionalFormatting>
  <conditionalFormatting sqref="G8">
    <cfRule type="cellIs" dxfId="43" priority="94" stopIfTrue="1" operator="equal">
      <formula>"-"</formula>
    </cfRule>
  </conditionalFormatting>
  <conditionalFormatting sqref="U19:U32">
    <cfRule type="expression" dxfId="42" priority="23">
      <formula>+$U19="pendiente"</formula>
    </cfRule>
  </conditionalFormatting>
  <conditionalFormatting sqref="V19:V32">
    <cfRule type="expression" dxfId="41" priority="22">
      <formula>+$V19="pendiente"</formula>
    </cfRule>
    <cfRule type="expression" dxfId="40" priority="69">
      <formula>+$V19="Muy Bajo"</formula>
    </cfRule>
    <cfRule type="expression" dxfId="39" priority="68">
      <formula>+$V19="Bajo"</formula>
    </cfRule>
    <cfRule type="expression" dxfId="38" priority="67">
      <formula>+$V19="Medio"</formula>
    </cfRule>
    <cfRule type="expression" dxfId="37" priority="66">
      <formula>+$V19="Alto"</formula>
    </cfRule>
    <cfRule type="expression" dxfId="36" priority="65">
      <formula>+$V19="Muy Alto"</formula>
    </cfRule>
  </conditionalFormatting>
  <conditionalFormatting sqref="W19:W32">
    <cfRule type="expression" dxfId="35" priority="21">
      <formula>+$W19="pendiente"</formula>
    </cfRule>
  </conditionalFormatting>
  <conditionalFormatting sqref="Y19:Y32">
    <cfRule type="cellIs" dxfId="34" priority="93" stopIfTrue="1" operator="equal">
      <formula>"pendiente"</formula>
    </cfRule>
    <cfRule type="expression" dxfId="33" priority="59">
      <formula>+$Y19="pendiente"</formula>
    </cfRule>
  </conditionalFormatting>
  <conditionalFormatting sqref="AA19:AA32">
    <cfRule type="expression" dxfId="32" priority="20">
      <formula>+$AA19="pendiente"</formula>
    </cfRule>
  </conditionalFormatting>
  <conditionalFormatting sqref="AC19:AC32">
    <cfRule type="cellIs" dxfId="31" priority="9" operator="equal">
      <formula>"En la siguiente columna responda NO"</formula>
    </cfRule>
  </conditionalFormatting>
  <conditionalFormatting sqref="AD19:AD32">
    <cfRule type="cellIs" dxfId="30" priority="7" operator="equal">
      <formula>"No"</formula>
    </cfRule>
    <cfRule type="cellIs" dxfId="29" priority="8" operator="equal">
      <formula>"Sí"</formula>
    </cfRule>
  </conditionalFormatting>
  <conditionalFormatting sqref="AE19:AE32">
    <cfRule type="expression" dxfId="28" priority="6">
      <formula>+$AE19="pendiente"</formula>
    </cfRule>
  </conditionalFormatting>
  <conditionalFormatting sqref="AF19:AF32">
    <cfRule type="colorScale" priority="641">
      <colorScale>
        <cfvo type="min"/>
        <cfvo type="percentile" val="50"/>
        <cfvo type="max"/>
        <color rgb="FFF8696B"/>
        <color rgb="FFFFEB84"/>
        <color rgb="FF63BE7B"/>
      </colorScale>
    </cfRule>
    <cfRule type="expression" dxfId="27" priority="636">
      <formula>+$AF19="pendiente"</formula>
    </cfRule>
    <cfRule type="cellIs" dxfId="26" priority="637" operator="between">
      <formula>0</formula>
      <formula>1.349999</formula>
    </cfRule>
    <cfRule type="cellIs" dxfId="25" priority="638" operator="between">
      <formula>1.35</formula>
      <formula>2.699999</formula>
    </cfRule>
    <cfRule type="cellIs" dxfId="24" priority="639" operator="between">
      <formula>2.7</formula>
      <formula>5.399999</formula>
    </cfRule>
    <cfRule type="cellIs" dxfId="23" priority="640" operator="between">
      <formula>5.4</formula>
      <formula>10.8</formula>
    </cfRule>
  </conditionalFormatting>
  <conditionalFormatting sqref="AF33">
    <cfRule type="cellIs" dxfId="22" priority="17" operator="between">
      <formula>0.5</formula>
      <formula>100</formula>
    </cfRule>
    <cfRule type="cellIs" dxfId="21" priority="16" operator="between">
      <formula>0.25</formula>
      <formula>0.499999</formula>
    </cfRule>
    <cfRule type="cellIs" dxfId="20" priority="15" operator="between">
      <formula>0.1</formula>
      <formula>0.24999</formula>
    </cfRule>
    <cfRule type="cellIs" dxfId="19" priority="14" operator="between">
      <formula>0</formula>
      <formula>0.09999</formula>
    </cfRule>
    <cfRule type="containsText" dxfId="18" priority="13" operator="containsText" text="pendiente">
      <formula>NOT(ISERROR(SEARCH("pendiente",AF33)))</formula>
    </cfRule>
  </conditionalFormatting>
  <conditionalFormatting sqref="AF35">
    <cfRule type="cellIs" dxfId="17" priority="4" operator="between">
      <formula>0.25</formula>
      <formula>0.499999</formula>
    </cfRule>
    <cfRule type="cellIs" dxfId="16" priority="3" operator="between">
      <formula>0.1</formula>
      <formula>0.24999</formula>
    </cfRule>
    <cfRule type="cellIs" dxfId="15" priority="2" operator="between">
      <formula>0</formula>
      <formula>0.09999</formula>
    </cfRule>
    <cfRule type="cellIs" dxfId="14" priority="5" operator="between">
      <formula>0.5</formula>
      <formula>100</formula>
    </cfRule>
    <cfRule type="cellIs" dxfId="13" priority="1" operator="equal">
      <formula>"pendiente"</formula>
    </cfRule>
  </conditionalFormatting>
  <dataValidations count="5">
    <dataValidation type="list" allowBlank="1" showInputMessage="1" showErrorMessage="1" sqref="F9:F11" xr:uid="{ACF2B760-B8B8-437A-B77E-5A9DDEC9CC62}">
      <formula1>$C$74:$C$75</formula1>
    </dataValidation>
    <dataValidation type="list" allowBlank="1" showInputMessage="1" showErrorMessage="1" sqref="G8" xr:uid="{6E64E2BF-D2F3-46A0-AF9B-D8D2A18B4701}">
      <formula1>$B$41:$B$43</formula1>
    </dataValidation>
    <dataValidation type="list" allowBlank="1" showInputMessage="1" showErrorMessage="1" sqref="G3" xr:uid="{1274C7D6-5D3A-4809-B083-1A2A065333F3}">
      <formula1>$B$37:$B$39</formula1>
    </dataValidation>
    <dataValidation type="list" allowBlank="1" showInputMessage="1" showErrorMessage="1" sqref="J19:J32 G19:G32 M19:M32 P19:P32" xr:uid="{3540A65A-3F24-46F5-883E-2CF22D248441}">
      <formula1>$B$45:$B$47</formula1>
    </dataValidation>
    <dataValidation type="list" allowBlank="1" showInputMessage="1" showErrorMessage="1" sqref="AD19:AD32" xr:uid="{16E496A2-046E-4E8F-9B25-F5BA96D7A3DF}">
      <formula1>"Sí,No"</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1D45E-DE33-483A-A971-676C0A0EDE0A}">
  <dimension ref="B2:N64"/>
  <sheetViews>
    <sheetView showGridLines="0" topLeftCell="A36" zoomScale="80" zoomScaleNormal="80" workbookViewId="0">
      <selection activeCell="A31" sqref="A1:XFD1048576"/>
    </sheetView>
  </sheetViews>
  <sheetFormatPr defaultRowHeight="14.5" x14ac:dyDescent="0.35"/>
  <cols>
    <col min="1" max="1" width="8.7265625" style="474"/>
    <col min="2" max="2" width="19.7265625" style="474" customWidth="1"/>
    <col min="3" max="3" width="8.7265625" style="474"/>
    <col min="4" max="4" width="69.453125" style="474" customWidth="1"/>
    <col min="5" max="5" width="22.54296875" style="474" customWidth="1"/>
    <col min="6" max="6" width="8.7265625" style="473"/>
    <col min="7" max="16384" width="8.7265625" style="474"/>
  </cols>
  <sheetData>
    <row r="2" spans="2:8" x14ac:dyDescent="0.35">
      <c r="B2" s="643" t="s">
        <v>105</v>
      </c>
      <c r="C2" s="643"/>
      <c r="D2" s="643"/>
      <c r="E2" s="643"/>
    </row>
    <row r="3" spans="2:8" ht="15" thickBot="1" x14ac:dyDescent="0.4">
      <c r="B3" s="475"/>
      <c r="C3" s="475"/>
      <c r="D3" s="475"/>
      <c r="E3" s="476"/>
    </row>
    <row r="4" spans="2:8" ht="29.5" thickBot="1" x14ac:dyDescent="0.4">
      <c r="B4" s="650" t="s">
        <v>106</v>
      </c>
      <c r="C4" s="651"/>
      <c r="D4" s="477" t="s">
        <v>5</v>
      </c>
      <c r="E4" s="478" t="s">
        <v>21</v>
      </c>
    </row>
    <row r="5" spans="2:8" x14ac:dyDescent="0.35">
      <c r="B5" s="652" t="s">
        <v>197</v>
      </c>
      <c r="C5" s="653"/>
      <c r="D5" s="479" t="s">
        <v>107</v>
      </c>
      <c r="E5" s="6" t="str">
        <f>+SUBVENCIONES!$AF$19</f>
        <v>Pendiente</v>
      </c>
      <c r="F5" s="480"/>
    </row>
    <row r="6" spans="2:8" x14ac:dyDescent="0.35">
      <c r="B6" s="654"/>
      <c r="C6" s="655"/>
      <c r="D6" s="481" t="s">
        <v>108</v>
      </c>
      <c r="E6" s="7" t="str">
        <f>+SUBVENCIONES!$AF$24</f>
        <v>Pendiente</v>
      </c>
      <c r="F6" s="480"/>
    </row>
    <row r="7" spans="2:8" x14ac:dyDescent="0.35">
      <c r="B7" s="654"/>
      <c r="C7" s="655"/>
      <c r="D7" s="481" t="s">
        <v>109</v>
      </c>
      <c r="E7" s="7" t="str">
        <f>+SUBVENCIONES!$AF$26</f>
        <v>Pendiente</v>
      </c>
      <c r="F7" s="480"/>
    </row>
    <row r="8" spans="2:8" x14ac:dyDescent="0.35">
      <c r="B8" s="654"/>
      <c r="C8" s="655"/>
      <c r="D8" s="481" t="s">
        <v>110</v>
      </c>
      <c r="E8" s="7" t="str">
        <f>+SUBVENCIONES!$AF$27</f>
        <v>Pendiente</v>
      </c>
      <c r="F8" s="480"/>
    </row>
    <row r="9" spans="2:8" x14ac:dyDescent="0.35">
      <c r="B9" s="654"/>
      <c r="C9" s="655"/>
      <c r="D9" s="481" t="s">
        <v>111</v>
      </c>
      <c r="E9" s="7" t="str">
        <f>+SUBVENCIONES!$AF$28</f>
        <v>Pendiente</v>
      </c>
      <c r="F9" s="480"/>
    </row>
    <row r="10" spans="2:8" x14ac:dyDescent="0.35">
      <c r="B10" s="654"/>
      <c r="C10" s="655"/>
      <c r="D10" s="481" t="s">
        <v>233</v>
      </c>
      <c r="E10" s="7" t="str">
        <f>+SUBVENCIONES!$AF$29</f>
        <v>Pendiente</v>
      </c>
      <c r="F10" s="480"/>
    </row>
    <row r="11" spans="2:8" ht="44.15" customHeight="1" x14ac:dyDescent="0.35">
      <c r="B11" s="654"/>
      <c r="C11" s="655"/>
      <c r="D11" s="482" t="s">
        <v>232</v>
      </c>
      <c r="E11" s="7" t="str">
        <f>+SUBVENCIONES!$AF$34</f>
        <v>Pendiente</v>
      </c>
      <c r="F11" s="480"/>
    </row>
    <row r="12" spans="2:8" ht="15" thickBot="1" x14ac:dyDescent="0.4">
      <c r="B12" s="656"/>
      <c r="C12" s="657"/>
      <c r="D12" s="483" t="s">
        <v>228</v>
      </c>
      <c r="E12" s="8" t="str">
        <f>+SUBVENCIONES!$AF$35</f>
        <v>Pendiente</v>
      </c>
      <c r="F12" s="480"/>
      <c r="G12" s="484"/>
      <c r="H12" s="485"/>
    </row>
    <row r="13" spans="2:8" ht="15" thickBot="1" x14ac:dyDescent="0.4">
      <c r="B13" s="486"/>
      <c r="C13" s="486"/>
      <c r="D13" s="487" t="s">
        <v>365</v>
      </c>
      <c r="E13" s="51" t="str">
        <f>+SUBVENCIONES!$AF$40</f>
        <v>Pendiente</v>
      </c>
      <c r="F13" s="480"/>
    </row>
    <row r="14" spans="2:8" x14ac:dyDescent="0.35">
      <c r="B14" s="652" t="s">
        <v>198</v>
      </c>
      <c r="C14" s="653"/>
      <c r="D14" s="488" t="s">
        <v>113</v>
      </c>
      <c r="E14" s="6" t="str">
        <f>+CONTRATACIÓN!AF19</f>
        <v>Pendiente</v>
      </c>
      <c r="F14" s="480"/>
    </row>
    <row r="15" spans="2:8" x14ac:dyDescent="0.35">
      <c r="B15" s="654"/>
      <c r="C15" s="655"/>
      <c r="D15" s="489" t="s">
        <v>114</v>
      </c>
      <c r="E15" s="7" t="str">
        <f>+CONTRATACIÓN!AF27</f>
        <v>Pendiente</v>
      </c>
      <c r="F15" s="480"/>
    </row>
    <row r="16" spans="2:8" x14ac:dyDescent="0.35">
      <c r="B16" s="654"/>
      <c r="C16" s="655"/>
      <c r="D16" s="489" t="s">
        <v>115</v>
      </c>
      <c r="E16" s="7" t="str">
        <f>+CONTRATACIÓN!AF32</f>
        <v>Pendiente</v>
      </c>
      <c r="F16" s="480"/>
    </row>
    <row r="17" spans="2:8" ht="29" x14ac:dyDescent="0.35">
      <c r="B17" s="654"/>
      <c r="C17" s="655"/>
      <c r="D17" s="489" t="s">
        <v>116</v>
      </c>
      <c r="E17" s="7" t="str">
        <f>+CONTRATACIÓN!AF42</f>
        <v>Pendiente</v>
      </c>
      <c r="F17" s="480"/>
    </row>
    <row r="18" spans="2:8" x14ac:dyDescent="0.35">
      <c r="B18" s="654"/>
      <c r="C18" s="655"/>
      <c r="D18" s="489" t="s">
        <v>117</v>
      </c>
      <c r="E18" s="7" t="str">
        <f>+CONTRATACIÓN!AF48</f>
        <v>Pendiente</v>
      </c>
      <c r="F18" s="480"/>
    </row>
    <row r="19" spans="2:8" ht="29" x14ac:dyDescent="0.35">
      <c r="B19" s="654"/>
      <c r="C19" s="655"/>
      <c r="D19" s="489" t="s">
        <v>118</v>
      </c>
      <c r="E19" s="7" t="str">
        <f>+CONTRATACIÓN!AF52</f>
        <v>Pendiente</v>
      </c>
      <c r="F19" s="480"/>
    </row>
    <row r="20" spans="2:8" ht="29" x14ac:dyDescent="0.35">
      <c r="B20" s="654"/>
      <c r="C20" s="655"/>
      <c r="D20" s="489" t="s">
        <v>229</v>
      </c>
      <c r="E20" s="7" t="str">
        <f>+CONTRATACIÓN!AF56</f>
        <v>Pendiente</v>
      </c>
      <c r="F20" s="480"/>
    </row>
    <row r="21" spans="2:8" ht="15" thickBot="1" x14ac:dyDescent="0.4">
      <c r="B21" s="656"/>
      <c r="C21" s="657"/>
      <c r="D21" s="490" t="s">
        <v>228</v>
      </c>
      <c r="E21" s="8" t="str">
        <f>+CONTRATACIÓN!AF57</f>
        <v>Pendiente</v>
      </c>
      <c r="F21" s="480"/>
      <c r="G21" s="484"/>
      <c r="H21" s="485"/>
    </row>
    <row r="22" spans="2:8" ht="15" thickBot="1" x14ac:dyDescent="0.4">
      <c r="B22" s="472"/>
      <c r="C22" s="472"/>
      <c r="D22" s="487" t="s">
        <v>410</v>
      </c>
      <c r="E22" s="51" t="str">
        <f>+CONTRATACIÓN!AF62</f>
        <v>Pendiente</v>
      </c>
      <c r="F22" s="480"/>
    </row>
    <row r="23" spans="2:8" x14ac:dyDescent="0.35">
      <c r="B23" s="647" t="s">
        <v>201</v>
      </c>
      <c r="C23" s="658" t="s">
        <v>202</v>
      </c>
      <c r="D23" s="491" t="s">
        <v>119</v>
      </c>
      <c r="E23" s="6" t="str">
        <f>+'MEDIOS PROPIOS'!$AA$19</f>
        <v>Pendiente</v>
      </c>
      <c r="F23" s="480"/>
    </row>
    <row r="24" spans="2:8" x14ac:dyDescent="0.35">
      <c r="B24" s="648"/>
      <c r="C24" s="659"/>
      <c r="D24" s="491" t="s">
        <v>156</v>
      </c>
      <c r="E24" s="7" t="str">
        <f>+'MEDIOS PROPIOS'!$AA$23</f>
        <v>Pendiente</v>
      </c>
      <c r="F24" s="480"/>
    </row>
    <row r="25" spans="2:8" x14ac:dyDescent="0.35">
      <c r="B25" s="648"/>
      <c r="C25" s="659"/>
      <c r="D25" s="489" t="s">
        <v>542</v>
      </c>
      <c r="E25" s="7" t="str">
        <f>'MEDIOS PROPIOS'!$AA$26</f>
        <v>Pendiente</v>
      </c>
      <c r="F25" s="480"/>
    </row>
    <row r="26" spans="2:8" ht="29" x14ac:dyDescent="0.35">
      <c r="B26" s="648"/>
      <c r="C26" s="659"/>
      <c r="D26" s="489" t="s">
        <v>234</v>
      </c>
      <c r="E26" s="7" t="str">
        <f>'MEDIOS PROPIOS'!$AA$28</f>
        <v>Pendiente</v>
      </c>
      <c r="F26" s="480"/>
    </row>
    <row r="27" spans="2:8" ht="15" thickBot="1" x14ac:dyDescent="0.4">
      <c r="B27" s="648"/>
      <c r="C27" s="660"/>
      <c r="D27" s="489" t="s">
        <v>120</v>
      </c>
      <c r="E27" s="7" t="str">
        <f>'MEDIOS PROPIOS'!$AF$29</f>
        <v>Pendiente</v>
      </c>
      <c r="F27" s="480"/>
      <c r="G27" s="484"/>
      <c r="H27" s="485"/>
    </row>
    <row r="28" spans="2:8" ht="15" thickBot="1" x14ac:dyDescent="0.4">
      <c r="B28" s="648"/>
      <c r="C28" s="492"/>
      <c r="D28" s="487" t="s">
        <v>411</v>
      </c>
      <c r="E28" s="52" t="str">
        <f>+'MEDIOS PROPIOS'!$AF$34</f>
        <v>Pendiente</v>
      </c>
      <c r="F28" s="480"/>
    </row>
    <row r="29" spans="2:8" x14ac:dyDescent="0.35">
      <c r="B29" s="648"/>
      <c r="C29" s="659" t="s">
        <v>203</v>
      </c>
      <c r="D29" s="489" t="s">
        <v>121</v>
      </c>
      <c r="E29" s="7" t="str">
        <f>+'ENCARGO A MEDIO PROPIO'!$AF$19</f>
        <v>Pendiente</v>
      </c>
      <c r="F29" s="480"/>
    </row>
    <row r="30" spans="2:8" ht="29" x14ac:dyDescent="0.35">
      <c r="B30" s="648"/>
      <c r="C30" s="659"/>
      <c r="D30" s="489" t="s">
        <v>122</v>
      </c>
      <c r="E30" s="7" t="str">
        <f>+'ENCARGO A MEDIO PROPIO'!$AF$21</f>
        <v>Pendiente</v>
      </c>
      <c r="F30" s="480"/>
    </row>
    <row r="31" spans="2:8" ht="29" x14ac:dyDescent="0.35">
      <c r="B31" s="648"/>
      <c r="C31" s="659"/>
      <c r="D31" s="489" t="s">
        <v>123</v>
      </c>
      <c r="E31" s="7" t="str">
        <f>+'ENCARGO A MEDIO PROPIO'!$AF$22</f>
        <v>Pendiente</v>
      </c>
      <c r="F31" s="480"/>
    </row>
    <row r="32" spans="2:8" x14ac:dyDescent="0.35">
      <c r="B32" s="648"/>
      <c r="C32" s="659"/>
      <c r="D32" s="489" t="s">
        <v>124</v>
      </c>
      <c r="E32" s="7" t="str">
        <f>+'ENCARGO A MEDIO PROPIO'!$AF$23</f>
        <v>Pendiente</v>
      </c>
      <c r="F32" s="480"/>
    </row>
    <row r="33" spans="2:14" ht="29" x14ac:dyDescent="0.35">
      <c r="B33" s="648"/>
      <c r="C33" s="659"/>
      <c r="D33" s="489" t="s">
        <v>125</v>
      </c>
      <c r="E33" s="7" t="str">
        <f>+'ENCARGO A MEDIO PROPIO'!$AF$25</f>
        <v>Pendiente</v>
      </c>
      <c r="F33" s="480"/>
    </row>
    <row r="34" spans="2:14" ht="29" x14ac:dyDescent="0.35">
      <c r="B34" s="648"/>
      <c r="C34" s="659"/>
      <c r="D34" s="489" t="s">
        <v>126</v>
      </c>
      <c r="E34" s="7" t="str">
        <f>+'ENCARGO A MEDIO PROPIO'!$AF$27</f>
        <v>Pendiente</v>
      </c>
      <c r="F34" s="480"/>
    </row>
    <row r="35" spans="2:14" x14ac:dyDescent="0.35">
      <c r="B35" s="648"/>
      <c r="C35" s="659"/>
      <c r="D35" s="489" t="s">
        <v>127</v>
      </c>
      <c r="E35" s="7" t="str">
        <f>+'ENCARGO A MEDIO PROPIO'!$AF$29</f>
        <v>Pendiente</v>
      </c>
      <c r="F35" s="480"/>
    </row>
    <row r="36" spans="2:14" x14ac:dyDescent="0.35">
      <c r="B36" s="648"/>
      <c r="C36" s="659"/>
      <c r="D36" s="489" t="s">
        <v>128</v>
      </c>
      <c r="E36" s="7" t="str">
        <f>+'ENCARGO A MEDIO PROPIO'!$AF$32</f>
        <v>Pendiente</v>
      </c>
      <c r="F36" s="480"/>
    </row>
    <row r="37" spans="2:14" ht="15" thickBot="1" x14ac:dyDescent="0.4">
      <c r="B37" s="648"/>
      <c r="C37" s="660"/>
      <c r="D37" s="489" t="s">
        <v>112</v>
      </c>
      <c r="E37" s="7" t="str">
        <f>+'ENCARGO A MEDIO PROPIO'!$AF$36</f>
        <v>Pendiente</v>
      </c>
      <c r="F37" s="480"/>
      <c r="G37" s="484"/>
      <c r="H37" s="485"/>
    </row>
    <row r="38" spans="2:14" ht="15" thickBot="1" x14ac:dyDescent="0.4">
      <c r="B38" s="648"/>
      <c r="C38" s="492"/>
      <c r="D38" s="487" t="s">
        <v>505</v>
      </c>
      <c r="E38" s="57" t="str">
        <f>+'ENCARGO A MEDIO PROPIO'!$AF$41</f>
        <v>Pendiente</v>
      </c>
      <c r="F38" s="480"/>
    </row>
    <row r="39" spans="2:14" x14ac:dyDescent="0.35">
      <c r="B39" s="648"/>
      <c r="C39" s="644" t="s">
        <v>204</v>
      </c>
      <c r="D39" s="488" t="s">
        <v>186</v>
      </c>
      <c r="E39" s="7" t="str">
        <f>+'ENCOMIENDA DE GESTIÓN'!$AF$19</f>
        <v>Pendiente</v>
      </c>
      <c r="F39" s="480"/>
      <c r="N39" s="474" t="s">
        <v>187</v>
      </c>
    </row>
    <row r="40" spans="2:14" ht="29" x14ac:dyDescent="0.35">
      <c r="B40" s="648"/>
      <c r="C40" s="645"/>
      <c r="D40" s="489" t="s">
        <v>185</v>
      </c>
      <c r="E40" s="7" t="str">
        <f>+'ENCOMIENDA DE GESTIÓN'!$AF$21</f>
        <v>Pendiente</v>
      </c>
      <c r="F40" s="480"/>
    </row>
    <row r="41" spans="2:14" ht="29" x14ac:dyDescent="0.35">
      <c r="B41" s="648"/>
      <c r="C41" s="645"/>
      <c r="D41" s="489" t="s">
        <v>184</v>
      </c>
      <c r="E41" s="7" t="str">
        <f>+'ENCOMIENDA DE GESTIÓN'!$AF$22</f>
        <v>Pendiente</v>
      </c>
      <c r="F41" s="480"/>
    </row>
    <row r="42" spans="2:14" x14ac:dyDescent="0.35">
      <c r="B42" s="648"/>
      <c r="C42" s="645"/>
      <c r="D42" s="489" t="s">
        <v>183</v>
      </c>
      <c r="E42" s="7" t="str">
        <f>+'ENCOMIENDA DE GESTIÓN'!$AF$23</f>
        <v>Pendiente</v>
      </c>
      <c r="F42" s="480"/>
    </row>
    <row r="43" spans="2:14" ht="29" x14ac:dyDescent="0.35">
      <c r="B43" s="648"/>
      <c r="C43" s="645"/>
      <c r="D43" s="489" t="s">
        <v>224</v>
      </c>
      <c r="E43" s="7" t="str">
        <f>+'ENCOMIENDA DE GESTIÓN'!$AF$25</f>
        <v>Pendiente</v>
      </c>
      <c r="F43" s="480"/>
    </row>
    <row r="44" spans="2:14" ht="29" x14ac:dyDescent="0.35">
      <c r="B44" s="648"/>
      <c r="C44" s="645"/>
      <c r="D44" s="489" t="s">
        <v>235</v>
      </c>
      <c r="E44" s="7" t="str">
        <f>+'ENCOMIENDA DE GESTIÓN'!$AF$27</f>
        <v>Pendiente</v>
      </c>
      <c r="F44" s="480"/>
    </row>
    <row r="45" spans="2:14" ht="15" thickBot="1" x14ac:dyDescent="0.4">
      <c r="B45" s="648"/>
      <c r="C45" s="645"/>
      <c r="D45" s="493" t="s">
        <v>220</v>
      </c>
      <c r="E45" s="7" t="str">
        <f>'ENCOMIENDA DE GESTIÓN'!$AF$30</f>
        <v>Pendiente</v>
      </c>
      <c r="F45" s="480"/>
      <c r="G45" s="484"/>
      <c r="H45" s="485"/>
    </row>
    <row r="46" spans="2:14" ht="15" thickBot="1" x14ac:dyDescent="0.4">
      <c r="B46" s="648"/>
      <c r="C46" s="492"/>
      <c r="D46" s="494" t="s">
        <v>448</v>
      </c>
      <c r="E46" s="52" t="str">
        <f>+'ENCOMIENDA DE GESTIÓN'!$AF$35</f>
        <v>Pendiente</v>
      </c>
      <c r="F46" s="480"/>
    </row>
    <row r="47" spans="2:14" ht="29.15" customHeight="1" x14ac:dyDescent="0.35">
      <c r="B47" s="648"/>
      <c r="C47" s="644" t="s">
        <v>205</v>
      </c>
      <c r="D47" s="495" t="s">
        <v>133</v>
      </c>
      <c r="E47" s="7" t="str">
        <f>CONVENIOS!$AF$19</f>
        <v>Pendiente</v>
      </c>
      <c r="F47" s="480"/>
    </row>
    <row r="48" spans="2:14" x14ac:dyDescent="0.35">
      <c r="B48" s="648"/>
      <c r="C48" s="645"/>
      <c r="D48" s="495" t="s">
        <v>134</v>
      </c>
      <c r="E48" s="7" t="str">
        <f>CONVENIOS!$AF$21</f>
        <v>Pendiente</v>
      </c>
      <c r="F48" s="480"/>
    </row>
    <row r="49" spans="2:9" x14ac:dyDescent="0.35">
      <c r="B49" s="648"/>
      <c r="C49" s="645"/>
      <c r="D49" s="495" t="s">
        <v>135</v>
      </c>
      <c r="E49" s="7" t="str">
        <f>+CONVENIOS!$AF$23</f>
        <v>Pendiente</v>
      </c>
      <c r="F49" s="480"/>
    </row>
    <row r="50" spans="2:9" ht="29" x14ac:dyDescent="0.35">
      <c r="B50" s="648"/>
      <c r="C50" s="645"/>
      <c r="D50" s="495" t="s">
        <v>136</v>
      </c>
      <c r="E50" s="7" t="str">
        <f>+CONVENIOS!$AF$25</f>
        <v>Pendiente</v>
      </c>
      <c r="F50" s="480"/>
    </row>
    <row r="51" spans="2:9" ht="29" x14ac:dyDescent="0.35">
      <c r="B51" s="648"/>
      <c r="C51" s="645"/>
      <c r="D51" s="495" t="s">
        <v>236</v>
      </c>
      <c r="E51" s="7" t="str">
        <f>+CONVENIOS!$AF$26</f>
        <v>Pendiente</v>
      </c>
      <c r="F51" s="480"/>
      <c r="G51" s="485"/>
    </row>
    <row r="52" spans="2:9" ht="15" thickBot="1" x14ac:dyDescent="0.4">
      <c r="B52" s="648"/>
      <c r="C52" s="646"/>
      <c r="D52" s="495" t="s">
        <v>221</v>
      </c>
      <c r="E52" s="8" t="str">
        <f>+CONVENIOS!$AF$27</f>
        <v>Pendiente</v>
      </c>
      <c r="F52" s="480"/>
      <c r="G52" s="484"/>
      <c r="H52" s="485"/>
    </row>
    <row r="53" spans="2:9" ht="15" thickBot="1" x14ac:dyDescent="0.4">
      <c r="B53" s="648"/>
      <c r="C53" s="496"/>
      <c r="D53" s="487" t="s">
        <v>469</v>
      </c>
      <c r="E53" s="53" t="str">
        <f>+CONVENIOS!$AF$32</f>
        <v>Pendiente</v>
      </c>
      <c r="F53" s="480"/>
    </row>
    <row r="54" spans="2:9" x14ac:dyDescent="0.35">
      <c r="B54" s="648"/>
      <c r="C54" s="644" t="s">
        <v>206</v>
      </c>
      <c r="D54" s="482" t="s">
        <v>214</v>
      </c>
      <c r="E54" s="4" t="str">
        <f>+CONCIERTOS!$AF$19</f>
        <v>Pendiente</v>
      </c>
      <c r="F54" s="480"/>
    </row>
    <row r="55" spans="2:9" ht="29" x14ac:dyDescent="0.35">
      <c r="B55" s="648"/>
      <c r="C55" s="645"/>
      <c r="D55" s="482" t="s">
        <v>215</v>
      </c>
      <c r="E55" s="4" t="str">
        <f>+CONCIERTOS!$AF$20</f>
        <v>Pendiente</v>
      </c>
      <c r="F55" s="480"/>
    </row>
    <row r="56" spans="2:9" ht="29" x14ac:dyDescent="0.35">
      <c r="B56" s="648"/>
      <c r="C56" s="645"/>
      <c r="D56" s="482" t="s">
        <v>216</v>
      </c>
      <c r="E56" s="4" t="str">
        <f>+CONCIERTOS!$AF$23</f>
        <v>Pendiente</v>
      </c>
      <c r="F56" s="480"/>
    </row>
    <row r="57" spans="2:9" ht="29" x14ac:dyDescent="0.35">
      <c r="B57" s="648"/>
      <c r="C57" s="645"/>
      <c r="D57" s="482" t="s">
        <v>217</v>
      </c>
      <c r="E57" s="4" t="str">
        <f>+CONCIERTOS!$AF$26</f>
        <v>Pendiente</v>
      </c>
      <c r="F57" s="480"/>
    </row>
    <row r="58" spans="2:9" x14ac:dyDescent="0.35">
      <c r="B58" s="648"/>
      <c r="C58" s="645"/>
      <c r="D58" s="482" t="s">
        <v>218</v>
      </c>
      <c r="E58" s="4" t="str">
        <f>+CONCIERTOS!AF27</f>
        <v>Pendiente</v>
      </c>
      <c r="F58" s="480"/>
    </row>
    <row r="59" spans="2:9" x14ac:dyDescent="0.35">
      <c r="B59" s="648"/>
      <c r="C59" s="645"/>
      <c r="D59" s="482" t="s">
        <v>219</v>
      </c>
      <c r="E59" s="4" t="str">
        <f>+CONCIERTOS!AF28</f>
        <v>Pendiente</v>
      </c>
      <c r="F59" s="480"/>
    </row>
    <row r="60" spans="2:9" ht="15" thickBot="1" x14ac:dyDescent="0.4">
      <c r="B60" s="649"/>
      <c r="C60" s="646"/>
      <c r="D60" s="493" t="s">
        <v>220</v>
      </c>
      <c r="E60" s="5" t="str">
        <f>+CONCIERTOS!AF30</f>
        <v>Pendiente</v>
      </c>
      <c r="F60" s="480"/>
      <c r="G60" s="484"/>
      <c r="H60" s="485"/>
    </row>
    <row r="61" spans="2:9" ht="15" thickBot="1" x14ac:dyDescent="0.4">
      <c r="C61" s="496"/>
      <c r="D61" s="487" t="s">
        <v>485</v>
      </c>
      <c r="E61" s="52" t="str">
        <f>+CONCIERTOS!$AF$35</f>
        <v>Pendiente</v>
      </c>
    </row>
    <row r="62" spans="2:9" x14ac:dyDescent="0.35">
      <c r="D62" s="661" t="s">
        <v>208</v>
      </c>
      <c r="E62" s="641" t="str">
        <f>IF(OR(E13="Pendiente",E22="Pendiente",E28="Pendiente",E38="Pendiente",E46="Pendiente",E53="Pendiente",E61="Pendiente"),"Pendiente",AVERAGE(E13,E22,E28,E38,E46,E53,E61))</f>
        <v>Pendiente</v>
      </c>
      <c r="G62" s="485"/>
      <c r="H62" s="485"/>
      <c r="I62" s="473"/>
    </row>
    <row r="63" spans="2:9" ht="15" thickBot="1" x14ac:dyDescent="0.4">
      <c r="D63" s="662"/>
      <c r="E63" s="642"/>
    </row>
    <row r="64" spans="2:9" x14ac:dyDescent="0.35">
      <c r="G64" s="484"/>
      <c r="H64" s="485"/>
    </row>
  </sheetData>
  <mergeCells count="12">
    <mergeCell ref="E62:E63"/>
    <mergeCell ref="B2:E2"/>
    <mergeCell ref="C54:C60"/>
    <mergeCell ref="B23:B60"/>
    <mergeCell ref="B4:C4"/>
    <mergeCell ref="B5:C12"/>
    <mergeCell ref="B14:C21"/>
    <mergeCell ref="C23:C27"/>
    <mergeCell ref="C29:C37"/>
    <mergeCell ref="C39:C45"/>
    <mergeCell ref="D62:D63"/>
    <mergeCell ref="C47:C52"/>
  </mergeCells>
  <conditionalFormatting sqref="E5:E12 E14:E21 E23:E27 E29:E37 E39:E45 E47:E52 E54:E60">
    <cfRule type="cellIs" dxfId="12" priority="12" operator="between">
      <formula>0</formula>
      <formula>1.3499999</formula>
    </cfRule>
    <cfRule type="cellIs" dxfId="11" priority="13" operator="between">
      <formula>1.35</formula>
      <formula>2.699999</formula>
    </cfRule>
    <cfRule type="cellIs" dxfId="10" priority="14" operator="between">
      <formula>2.7</formula>
      <formula>5.399999</formula>
    </cfRule>
    <cfRule type="cellIs" dxfId="9" priority="15" operator="between">
      <formula>5.4</formula>
      <formula>10.8</formula>
    </cfRule>
  </conditionalFormatting>
  <conditionalFormatting sqref="E5:E63">
    <cfRule type="containsText" dxfId="8" priority="2" operator="containsText" text="pendiente">
      <formula>NOT(ISERROR(SEARCH("pendiente",E5)))</formula>
    </cfRule>
  </conditionalFormatting>
  <conditionalFormatting sqref="E13 E22 E28 E38 E46 E53 E61">
    <cfRule type="cellIs" dxfId="7" priority="8" operator="between">
      <formula>0%</formula>
      <formula>9.99999%</formula>
    </cfRule>
  </conditionalFormatting>
  <conditionalFormatting sqref="E13 E22 E28 E38 E46 E53 E61:E62">
    <cfRule type="cellIs" dxfId="6" priority="9" operator="between">
      <formula>10%</formula>
      <formula>24.99999%</formula>
    </cfRule>
    <cfRule type="cellIs" dxfId="5" priority="10" operator="between">
      <formula>25%</formula>
      <formula>49.99999%</formula>
    </cfRule>
    <cfRule type="cellIs" dxfId="4" priority="11" operator="between">
      <formula>50%</formula>
      <formula>100%</formula>
    </cfRule>
  </conditionalFormatting>
  <conditionalFormatting sqref="E62">
    <cfRule type="cellIs" dxfId="3" priority="4" operator="between">
      <formula>0</formula>
      <formula>0.099999999999</formula>
    </cfRule>
    <cfRule type="cellIs" dxfId="2" priority="5" operator="between">
      <formula>0.1</formula>
      <formula>0.249999999999</formula>
    </cfRule>
    <cfRule type="cellIs" dxfId="1" priority="6" operator="between">
      <formula>0.499999999999</formula>
      <formula>0.25</formula>
    </cfRule>
    <cfRule type="cellIs" dxfId="0" priority="7" operator="between">
      <formula>0.5</formula>
      <formula>100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7378E49C04E344093E8AC8D1F445331" ma:contentTypeVersion="15" ma:contentTypeDescription="Crea un document nou" ma:contentTypeScope="" ma:versionID="d9a0f28c1849dd78a510de1c74228b9a">
  <xsd:schema xmlns:xsd="http://www.w3.org/2001/XMLSchema" xmlns:xs="http://www.w3.org/2001/XMLSchema" xmlns:p="http://schemas.microsoft.com/office/2006/metadata/properties" xmlns:ns2="beb214da-a5e6-4898-8edc-34faa7c3593a" xmlns:ns3="6d7bd23d-1626-40b7-9864-592ecaf11bf3" targetNamespace="http://schemas.microsoft.com/office/2006/metadata/properties" ma:root="true" ma:fieldsID="37908c65b5d69e29e5f95e8f854c04bf" ns2:_="" ns3:_="">
    <xsd:import namespace="beb214da-a5e6-4898-8edc-34faa7c3593a"/>
    <xsd:import namespace="6d7bd23d-1626-40b7-9864-592ecaf11bf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kceb401dc9944fe6b05fb3bae97b238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b214da-a5e6-4898-8edc-34faa7c3593a"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07b55b83-4253-43d4-a311-3e390d277855}" ma:internalName="TaxCatchAll" ma:showField="CatchAllData" ma:web="beb214da-a5e6-4898-8edc-34faa7c3593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d7bd23d-1626-40b7-9864-592ecaf11bf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kceb401dc9944fe6b05fb3bae97b2382" ma:index="25" nillable="true" ma:taxonomy="true" ma:internalName="kceb401dc9944fe6b05fb3bae97b2382" ma:taxonomyFieldName="Metadatos_x0020_gestionados" ma:displayName="Metadatos gestionados" ma:default="" ma:fieldId="{4ceb401d-c994-4fe6-b05f-b3bae97b2382}" ma:sspId="6aa0a5f0-eb04-4df9-9a65-aa1e588e14f8" ma:termSetId="b49f64b3-4722-4336-9a5c-56c326b344d4" ma:anchorId="00000000-0000-0000-0000-000000000000"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beb214da-a5e6-4898-8edc-34faa7c3593a" xsi:nil="true"/>
    <lcf76f155ced4ddcb4097134ff3c332f xmlns="6d7bd23d-1626-40b7-9864-592ecaf11bf3">
      <Terms xmlns="http://schemas.microsoft.com/office/infopath/2007/PartnerControls"/>
    </lcf76f155ced4ddcb4097134ff3c332f>
    <kceb401dc9944fe6b05fb3bae97b2382 xmlns="6d7bd23d-1626-40b7-9864-592ecaf11bf3">
      <Terms xmlns="http://schemas.microsoft.com/office/infopath/2007/PartnerControls"/>
    </kceb401dc9944fe6b05fb3bae97b2382>
    <_dlc_DocId xmlns="beb214da-a5e6-4898-8edc-34faa7c3593a">SJFVMPZWP3ED-966543077-867428</_dlc_DocId>
    <_dlc_DocIdUrl xmlns="beb214da-a5e6-4898-8edc-34faa7c3593a">
      <Url>https://caib.sharepoint.com/sites/ARXIUS-DGFONS/_layouts/15/DocIdRedir.aspx?ID=SJFVMPZWP3ED-966543077-867428</Url>
      <Description>SJFVMPZWP3ED-966543077-867428</Description>
    </_dlc_DocIdUrl>
  </documentManagement>
</p:properties>
</file>

<file path=customXml/itemProps1.xml><?xml version="1.0" encoding="utf-8"?>
<ds:datastoreItem xmlns:ds="http://schemas.openxmlformats.org/officeDocument/2006/customXml" ds:itemID="{B049428A-99D6-4F79-94D0-E0B9C91F5EF3}"/>
</file>

<file path=customXml/itemProps2.xml><?xml version="1.0" encoding="utf-8"?>
<ds:datastoreItem xmlns:ds="http://schemas.openxmlformats.org/officeDocument/2006/customXml" ds:itemID="{2ED422FF-5FD2-49E9-B468-B171FE425B75}"/>
</file>

<file path=customXml/itemProps3.xml><?xml version="1.0" encoding="utf-8"?>
<ds:datastoreItem xmlns:ds="http://schemas.openxmlformats.org/officeDocument/2006/customXml" ds:itemID="{BE35EB33-0EF8-4688-AF64-54D5A776B696}"/>
</file>

<file path=customXml/itemProps4.xml><?xml version="1.0" encoding="utf-8"?>
<ds:datastoreItem xmlns:ds="http://schemas.openxmlformats.org/officeDocument/2006/customXml" ds:itemID="{D881EADA-E1B1-4725-B087-3D8553C35BF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INSTRUCCIONES</vt:lpstr>
      <vt:lpstr>SUBVENCIONES</vt:lpstr>
      <vt:lpstr>CONTRATACIÓN</vt:lpstr>
      <vt:lpstr>MEDIOS PROPIOS</vt:lpstr>
      <vt:lpstr>ENCARGO A MEDIO PROPIO</vt:lpstr>
      <vt:lpstr>ENCOMIENDA DE GESTIÓN</vt:lpstr>
      <vt:lpstr>CONVENIOS</vt:lpstr>
      <vt:lpstr>CONCIERTOS</vt:lpstr>
      <vt:lpstr>INFORMES</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2021-09-29T09:31:47Z</dcterms:created>
  <dcterms:modified xsi:type="dcterms:W3CDTF">2025-03-20T12:35:50Z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0x01010037378E49C04E344093E8AC8D1F445331</vt:lpwstr>
  </property>
  <property fmtid="{D5CDD505-2E9C-101B-9397-08002B2CF9AE}" pid="3" name="_dlc_DocIdItemGuid">
    <vt:lpwstr>fcf16c81-65e4-4374-8a95-a3747d82263b</vt:lpwstr>
  </property>
</Properties>
</file>